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365" activeTab="0"/>
  </bookViews>
  <sheets>
    <sheet name="012" sheetId="1" r:id="rId1"/>
    <sheet name="01E" sheetId="2" r:id="rId2"/>
    <sheet name="016" sheetId="3" r:id="rId3"/>
    <sheet name="g86" sheetId="4" r:id="rId4"/>
    <sheet name="G87" sheetId="5" r:id="rId5"/>
    <sheet name="930" sheetId="6" r:id="rId6"/>
    <sheet name="Type 915" sheetId="7" r:id="rId7"/>
    <sheet name="Type G-50" sheetId="8" r:id="rId8"/>
    <sheet name="Quaife" sheetId="9" r:id="rId9"/>
    <sheet name="gearBoxes" sheetId="10" r:id="rId10"/>
  </sheets>
  <definedNames>
    <definedName name="_xlnm.Print_Area" localSheetId="0">'012'!$A$5:$M$19</definedName>
    <definedName name="_xlnm.Print_Area" localSheetId="6">'Type 915'!$A$2:$M$20</definedName>
    <definedName name="TABLE" localSheetId="8">'Quaife'!$B$25:$D$33</definedName>
    <definedName name="TABLE_2" localSheetId="8">'Quaife'!$B$25:$D$33</definedName>
  </definedNames>
  <calcPr fullCalcOnLoad="1"/>
</workbook>
</file>

<file path=xl/sharedStrings.xml><?xml version="1.0" encoding="utf-8"?>
<sst xmlns="http://schemas.openxmlformats.org/spreadsheetml/2006/main" count="922" uniqueCount="161">
  <si>
    <t>GT40 Gearbox</t>
  </si>
  <si>
    <t>Selection</t>
  </si>
  <si>
    <t>Max Allowable RPM=</t>
  </si>
  <si>
    <t>Tire Diameter (inches)=</t>
  </si>
  <si>
    <t>Target mph for RPM Calc=</t>
  </si>
  <si>
    <t>Box S/N</t>
  </si>
  <si>
    <t>AEY</t>
  </si>
  <si>
    <t>Effective</t>
  </si>
  <si>
    <t>Ratio</t>
  </si>
  <si>
    <t>Max Speed</t>
  </si>
  <si>
    <t>Overall</t>
  </si>
  <si>
    <t>Final</t>
  </si>
  <si>
    <t>First</t>
  </si>
  <si>
    <t>Second</t>
  </si>
  <si>
    <t>Third</t>
  </si>
  <si>
    <t>Fourth</t>
  </si>
  <si>
    <t>Fifth</t>
  </si>
  <si>
    <t>Target RPM</t>
  </si>
  <si>
    <t>APT</t>
  </si>
  <si>
    <t>AAZ</t>
  </si>
  <si>
    <t>3V</t>
  </si>
  <si>
    <t>5N</t>
  </si>
  <si>
    <t>MR</t>
  </si>
  <si>
    <t>HF</t>
  </si>
  <si>
    <t>3U</t>
  </si>
  <si>
    <t>RPM AFTER</t>
  </si>
  <si>
    <t>SHIFT</t>
  </si>
  <si>
    <t>Percentage</t>
  </si>
  <si>
    <t>RPM DROP</t>
  </si>
  <si>
    <t>Sixth</t>
  </si>
  <si>
    <t>EKN</t>
  </si>
  <si>
    <t>CYB</t>
  </si>
  <si>
    <t>FRM</t>
  </si>
  <si>
    <t>DQS</t>
  </si>
  <si>
    <t>FPN</t>
  </si>
  <si>
    <t>FRL</t>
  </si>
  <si>
    <t>FRG</t>
  </si>
  <si>
    <t>GBA</t>
  </si>
  <si>
    <t>GAZ</t>
  </si>
  <si>
    <t>GEA</t>
  </si>
  <si>
    <t>DPV</t>
  </si>
  <si>
    <t>AMM, AMN</t>
  </si>
  <si>
    <t>2U,  6U</t>
  </si>
  <si>
    <t>HE, AAW, AAV</t>
  </si>
  <si>
    <t xml:space="preserve">          not MR , same as BMO</t>
  </si>
  <si>
    <t>remove HE, it is a 013 box</t>
  </si>
  <si>
    <t xml:space="preserve"> this is a 013 box</t>
  </si>
  <si>
    <t>MO, MR</t>
  </si>
  <si>
    <t>BMO, WV, UW,</t>
  </si>
  <si>
    <t>APU, AFC</t>
  </si>
  <si>
    <t>3K, APS</t>
  </si>
  <si>
    <t>AAV, AAW</t>
  </si>
  <si>
    <t>AAX, AAY</t>
  </si>
  <si>
    <t>APN, APP, 4V, 5V</t>
  </si>
  <si>
    <t>RPM at</t>
  </si>
  <si>
    <t>75mph</t>
  </si>
  <si>
    <t>Porsche 987 Boxter and Cayman</t>
  </si>
  <si>
    <t>01</t>
  </si>
  <si>
    <t xml:space="preserve"> Boxster S 987 05-08, Cayman S 06-08</t>
  </si>
  <si>
    <t>Boxter 987 05-08; Cayman 987 07-08</t>
  </si>
  <si>
    <t>20</t>
  </si>
  <si>
    <t>21</t>
  </si>
  <si>
    <t xml:space="preserve">PORSCHE 930 4 SPEED </t>
  </si>
  <si>
    <t>Forth</t>
  </si>
  <si>
    <t xml:space="preserve"> Porsche 3.0L 930, 911 Turbo 75-77</t>
  </si>
  <si>
    <t>Porsche 3.3L 930, 911 Turbo 78-88</t>
  </si>
  <si>
    <t xml:space="preserve"> 930/30, 930/32, 930/33</t>
  </si>
  <si>
    <t>930/34, 930/36</t>
  </si>
  <si>
    <t>986 Boxster 5 and 6 speed</t>
  </si>
  <si>
    <t>G86/00 (97-99)</t>
  </si>
  <si>
    <t>G86/01 (00-04)</t>
  </si>
  <si>
    <t xml:space="preserve"> G86/20, (00-04)</t>
  </si>
  <si>
    <t>Porsche 968 1992-1995</t>
  </si>
  <si>
    <t xml:space="preserve"> G44/00 </t>
  </si>
  <si>
    <t>Porsche Boxster 986 1997-2004</t>
  </si>
  <si>
    <t>R</t>
  </si>
  <si>
    <t>GEAR:</t>
  </si>
  <si>
    <t>RPM:</t>
  </si>
  <si>
    <t>Theoretical Speed in KPH</t>
  </si>
  <si>
    <t>Theoretical Speed in MPH</t>
  </si>
  <si>
    <t>255.35.18</t>
  </si>
  <si>
    <t>315.25.19</t>
  </si>
  <si>
    <t>toyo proxies t1r</t>
  </si>
  <si>
    <t>325.30.19</t>
  </si>
  <si>
    <t>eagle F1 super car</t>
  </si>
  <si>
    <t>Bfgoodrich gForce</t>
  </si>
  <si>
    <t>275.35.18</t>
  </si>
  <si>
    <t>345.30.19</t>
  </si>
  <si>
    <t>Pilot Sport ZP</t>
  </si>
  <si>
    <t>265.35.18</t>
  </si>
  <si>
    <t>Michelin Pilot Sport</t>
  </si>
  <si>
    <t>3.25 alternate final drive from auto trans</t>
  </si>
  <si>
    <t>4.11 primary drive in manual</t>
  </si>
  <si>
    <t>Reverse Gear:</t>
  </si>
  <si>
    <t>Distance:</t>
  </si>
  <si>
    <t>5th Gear</t>
  </si>
  <si>
    <t>Dia (in):</t>
  </si>
  <si>
    <t>4th Gear:</t>
  </si>
  <si>
    <t>Width:</t>
  </si>
  <si>
    <t>3rd Gear:</t>
  </si>
  <si>
    <t>Profile:</t>
  </si>
  <si>
    <t>2nd Gear:</t>
  </si>
  <si>
    <t>inches</t>
  </si>
  <si>
    <t>Rim Size:</t>
  </si>
  <si>
    <t>1st Gear:</t>
  </si>
  <si>
    <t>Front Tires</t>
  </si>
  <si>
    <t>Rear Tires</t>
  </si>
  <si>
    <t>Overall:</t>
  </si>
  <si>
    <t>Final Drive:</t>
  </si>
  <si>
    <t>Audi 90     012 301 103C</t>
  </si>
  <si>
    <t>Reverse</t>
  </si>
  <si>
    <t>5th</t>
  </si>
  <si>
    <t>4th</t>
  </si>
  <si>
    <t>3rd</t>
  </si>
  <si>
    <t>2nd</t>
  </si>
  <si>
    <t>1st</t>
  </si>
  <si>
    <t>Final drive</t>
  </si>
  <si>
    <t>3K</t>
  </si>
  <si>
    <t>Gearbox 016</t>
  </si>
  <si>
    <t>3Q</t>
  </si>
  <si>
    <t>Gearbox 093</t>
  </si>
  <si>
    <t>HE</t>
  </si>
  <si>
    <t>3T</t>
  </si>
  <si>
    <t>Gearbox 013</t>
  </si>
  <si>
    <t>4X</t>
  </si>
  <si>
    <t>QN</t>
  </si>
  <si>
    <t>Gearbox 014</t>
  </si>
  <si>
    <t>301 103 C</t>
  </si>
  <si>
    <t>Gearbox 012</t>
  </si>
  <si>
    <t>five speed gearbox fitted to UK 2.0 2.2 &amp; 2.3 L five cylinder and all N. American models</t>
  </si>
  <si>
    <t>016</t>
  </si>
  <si>
    <t>five speed gearbox fitted to 1.9L four cylinder models</t>
  </si>
  <si>
    <t>093</t>
  </si>
  <si>
    <t>five speed gearbox fitted to 1.8L four cylinder models</t>
  </si>
  <si>
    <t>013</t>
  </si>
  <si>
    <t>four speed gearbox fitted to 1.8L four cylinder models</t>
  </si>
  <si>
    <t>014</t>
  </si>
  <si>
    <t>five speed gearbox found in 2.5 L five cylinder models</t>
  </si>
  <si>
    <t>012</t>
  </si>
  <si>
    <t>Gearbox code number</t>
  </si>
  <si>
    <t>Gearing based on stock Porsche G-50 transaxle with a replacement ring &amp; pinion of 3.10:1 vs 3.??:1</t>
  </si>
  <si>
    <t>THEORETICAL SPEED IN MPH</t>
  </si>
  <si>
    <t>REAR TIRES</t>
  </si>
  <si>
    <t>Shift Point</t>
  </si>
  <si>
    <t>RPM Spread</t>
  </si>
  <si>
    <t>RPM @ 40 MPH</t>
  </si>
  <si>
    <t>Final Drive Ratio:</t>
  </si>
  <si>
    <t>Porsche Type G-50</t>
  </si>
  <si>
    <t>3.889:1</t>
  </si>
  <si>
    <t>Final Drive</t>
  </si>
  <si>
    <t>basic ratio 2</t>
  </si>
  <si>
    <t>basic ratio 1</t>
  </si>
  <si>
    <t>gear</t>
  </si>
  <si>
    <t>6th Gear</t>
  </si>
  <si>
    <t>Quaife 6-Speed</t>
  </si>
  <si>
    <t>Note: These are theoretical speeds and do not account for aerodynamic drag or tire slip.</t>
  </si>
  <si>
    <t>Gearing based on stock Porsche 915 transaxle with a replacement ring &amp; pinion of 3.10:1 vs 3.88:1</t>
  </si>
  <si>
    <t>Gear</t>
  </si>
  <si>
    <t>Porsche Type 915</t>
  </si>
  <si>
    <t>run flats</t>
  </si>
  <si>
    <t>ideal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</si>
</sst>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6"/>
      <name val="Arial"/>
      <family val="0"/>
    </font>
    <font>
      <b/>
      <sz val="2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22"/>
      <name val="Arial"/>
      <family val="2"/>
    </font>
    <font>
      <sz val="10"/>
      <color indexed="4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2" fontId="0" fillId="0" borderId="0">
      <alignment/>
      <protection/>
    </xf>
    <xf numFmtId="2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2" fontId="1" fillId="3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2" borderId="0" xfId="0" applyNumberFormat="1" applyFont="1" applyFill="1" applyBorder="1" applyAlignment="1" applyProtection="1">
      <alignment horizontal="center"/>
      <protection/>
    </xf>
    <xf numFmtId="0" fontId="1" fillId="32" borderId="0" xfId="0" applyNumberFormat="1" applyFont="1" applyFill="1" applyBorder="1" applyAlignment="1" applyProtection="1">
      <alignment/>
      <protection/>
    </xf>
    <xf numFmtId="2" fontId="0" fillId="32" borderId="0" xfId="0" applyNumberFormat="1" applyFont="1" applyFill="1" applyBorder="1" applyAlignment="1" applyProtection="1">
      <alignment/>
      <protection/>
    </xf>
    <xf numFmtId="2" fontId="1" fillId="32" borderId="0" xfId="0" applyNumberFormat="1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horizontal="center"/>
      <protection/>
    </xf>
    <xf numFmtId="2" fontId="0" fillId="32" borderId="0" xfId="0" applyNumberFormat="1" applyFont="1" applyFill="1" applyBorder="1" applyAlignment="1" applyProtection="1">
      <alignment horizontal="center"/>
      <protection/>
    </xf>
    <xf numFmtId="2" fontId="5" fillId="32" borderId="0" xfId="0" applyNumberFormat="1" applyFont="1" applyFill="1" applyBorder="1" applyAlignment="1" applyProtection="1">
      <alignment horizontal="center"/>
      <protection/>
    </xf>
    <xf numFmtId="2" fontId="6" fillId="32" borderId="0" xfId="0" applyNumberFormat="1" applyFont="1" applyFill="1" applyBorder="1" applyAlignment="1" applyProtection="1">
      <alignment horizontal="center"/>
      <protection/>
    </xf>
    <xf numFmtId="0" fontId="0" fillId="32" borderId="0" xfId="0" applyNumberFormat="1" applyFont="1" applyFill="1" applyBorder="1" applyAlignment="1" applyProtection="1">
      <alignment/>
      <protection/>
    </xf>
    <xf numFmtId="0" fontId="1" fillId="32" borderId="0" xfId="0" applyNumberFormat="1" applyFont="1" applyFill="1" applyBorder="1" applyAlignment="1" applyProtection="1">
      <alignment horizontal="center"/>
      <protection/>
    </xf>
    <xf numFmtId="2" fontId="1" fillId="32" borderId="0" xfId="0" applyNumberFormat="1" applyFont="1" applyFill="1" applyBorder="1" applyAlignment="1" applyProtection="1">
      <alignment horizontal="left"/>
      <protection/>
    </xf>
    <xf numFmtId="2" fontId="9" fillId="32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2" fontId="9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/>
      <protection/>
    </xf>
    <xf numFmtId="2" fontId="5" fillId="34" borderId="0" xfId="0" applyNumberFormat="1" applyFont="1" applyFill="1" applyBorder="1" applyAlignment="1" applyProtection="1">
      <alignment horizontal="center"/>
      <protection/>
    </xf>
    <xf numFmtId="0" fontId="1" fillId="32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81" fontId="0" fillId="32" borderId="0" xfId="0" applyNumberFormat="1" applyFont="1" applyFill="1" applyBorder="1" applyAlignment="1" applyProtection="1">
      <alignment/>
      <protection/>
    </xf>
    <xf numFmtId="2" fontId="0" fillId="32" borderId="0" xfId="0" applyNumberFormat="1" applyFill="1" applyBorder="1" applyAlignment="1" applyProtection="1">
      <alignment/>
      <protection/>
    </xf>
    <xf numFmtId="2" fontId="1" fillId="32" borderId="0" xfId="0" applyNumberFormat="1" applyFont="1" applyFill="1" applyBorder="1" applyAlignment="1" applyProtection="1">
      <alignment horizontal="center"/>
      <protection/>
    </xf>
    <xf numFmtId="1" fontId="1" fillId="32" borderId="0" xfId="0" applyNumberFormat="1" applyFont="1" applyFill="1" applyBorder="1" applyAlignment="1" applyProtection="1" quotePrefix="1">
      <alignment horizontal="center"/>
      <protection/>
    </xf>
    <xf numFmtId="0" fontId="1" fillId="32" borderId="0" xfId="0" applyNumberFormat="1" applyFont="1" applyFill="1" applyBorder="1" applyAlignment="1" applyProtection="1">
      <alignment/>
      <protection/>
    </xf>
    <xf numFmtId="2" fontId="1" fillId="32" borderId="0" xfId="0" applyNumberFormat="1" applyFont="1" applyFill="1" applyBorder="1" applyAlignment="1" applyProtection="1">
      <alignment/>
      <protection/>
    </xf>
    <xf numFmtId="1" fontId="0" fillId="32" borderId="0" xfId="0" applyNumberFormat="1" applyFont="1" applyFill="1" applyBorder="1" applyAlignment="1" applyProtection="1">
      <alignment/>
      <protection/>
    </xf>
    <xf numFmtId="2" fontId="1" fillId="32" borderId="0" xfId="0" applyNumberFormat="1" applyFont="1" applyFill="1" applyBorder="1" applyAlignment="1" applyProtection="1">
      <alignment horizontal="center"/>
      <protection/>
    </xf>
    <xf numFmtId="2" fontId="1" fillId="32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1" fontId="1" fillId="32" borderId="0" xfId="0" applyNumberFormat="1" applyFont="1" applyFill="1" applyBorder="1" applyAlignment="1" applyProtection="1">
      <alignment horizontal="center"/>
      <protection/>
    </xf>
    <xf numFmtId="2" fontId="1" fillId="32" borderId="0" xfId="0" applyNumberFormat="1" applyFont="1" applyFill="1" applyBorder="1" applyAlignment="1" applyProtection="1">
      <alignment horizontal="center" wrapText="1"/>
      <protection/>
    </xf>
    <xf numFmtId="0" fontId="1" fillId="32" borderId="0" xfId="0" applyNumberFormat="1" applyFont="1" applyFill="1" applyBorder="1" applyAlignment="1" applyProtection="1">
      <alignment/>
      <protection/>
    </xf>
    <xf numFmtId="0" fontId="1" fillId="32" borderId="0" xfId="0" applyNumberFormat="1" applyFont="1" applyFill="1" applyBorder="1" applyAlignment="1" applyProtection="1">
      <alignment horizontal="center"/>
      <protection/>
    </xf>
    <xf numFmtId="2" fontId="0" fillId="0" borderId="0" xfId="57" applyFont="1">
      <alignment/>
      <protection/>
    </xf>
    <xf numFmtId="1" fontId="0" fillId="0" borderId="10" xfId="57" applyNumberFormat="1" applyFont="1" applyBorder="1" applyAlignment="1">
      <alignment horizontal="center"/>
      <protection/>
    </xf>
    <xf numFmtId="1" fontId="1" fillId="0" borderId="11" xfId="57" applyNumberFormat="1" applyFont="1" applyFill="1" applyBorder="1" applyAlignment="1">
      <alignment horizontal="center"/>
      <protection/>
    </xf>
    <xf numFmtId="1" fontId="1" fillId="0" borderId="10" xfId="57" applyNumberFormat="1" applyFont="1" applyBorder="1" applyAlignment="1">
      <alignment horizontal="center"/>
      <protection/>
    </xf>
    <xf numFmtId="2" fontId="0" fillId="0" borderId="12" xfId="57" applyFont="1" applyBorder="1">
      <alignment/>
      <protection/>
    </xf>
    <xf numFmtId="2" fontId="0" fillId="0" borderId="13" xfId="57" applyFont="1" applyBorder="1">
      <alignment/>
      <protection/>
    </xf>
    <xf numFmtId="1" fontId="10" fillId="35" borderId="10" xfId="57" applyNumberFormat="1" applyFont="1" applyFill="1" applyBorder="1" applyAlignment="1">
      <alignment horizontal="center"/>
      <protection/>
    </xf>
    <xf numFmtId="1" fontId="11" fillId="33" borderId="14" xfId="57" applyNumberFormat="1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1" fontId="1" fillId="36" borderId="10" xfId="57" applyNumberFormat="1" applyFont="1" applyFill="1" applyBorder="1" applyAlignment="1">
      <alignment horizontal="center"/>
      <protection/>
    </xf>
    <xf numFmtId="1" fontId="1" fillId="10" borderId="10" xfId="57" applyNumberFormat="1" applyFont="1" applyFill="1" applyBorder="1" applyAlignment="1">
      <alignment horizontal="center"/>
      <protection/>
    </xf>
    <xf numFmtId="1" fontId="1" fillId="10" borderId="15" xfId="57" applyNumberFormat="1" applyFont="1" applyFill="1" applyBorder="1" applyAlignment="1">
      <alignment horizontal="center"/>
      <protection/>
    </xf>
    <xf numFmtId="1" fontId="1" fillId="0" borderId="16" xfId="57" applyNumberFormat="1" applyFont="1" applyBorder="1" applyAlignment="1">
      <alignment horizontal="center"/>
      <protection/>
    </xf>
    <xf numFmtId="1" fontId="1" fillId="0" borderId="17" xfId="57" applyNumberFormat="1" applyFont="1" applyBorder="1" applyAlignment="1">
      <alignment horizontal="center"/>
      <protection/>
    </xf>
    <xf numFmtId="2" fontId="12" fillId="35" borderId="10" xfId="57" applyFont="1" applyFill="1" applyBorder="1">
      <alignment/>
      <protection/>
    </xf>
    <xf numFmtId="2" fontId="13" fillId="33" borderId="0" xfId="57" applyFont="1" applyFill="1">
      <alignment/>
      <protection/>
    </xf>
    <xf numFmtId="1" fontId="11" fillId="33" borderId="10" xfId="57" applyNumberFormat="1" applyFont="1" applyFill="1" applyBorder="1">
      <alignment/>
      <protection/>
    </xf>
    <xf numFmtId="1" fontId="1" fillId="36" borderId="18" xfId="57" applyNumberFormat="1" applyFont="1" applyFill="1" applyBorder="1" applyAlignment="1">
      <alignment horizontal="center"/>
      <protection/>
    </xf>
    <xf numFmtId="1" fontId="1" fillId="0" borderId="17" xfId="57" applyNumberFormat="1" applyFont="1" applyBorder="1" applyAlignment="1">
      <alignment horizontal="left"/>
      <protection/>
    </xf>
    <xf numFmtId="1" fontId="10" fillId="35" borderId="19" xfId="57" applyNumberFormat="1" applyFont="1" applyFill="1" applyBorder="1" applyAlignment="1">
      <alignment horizontal="center"/>
      <protection/>
    </xf>
    <xf numFmtId="1" fontId="11" fillId="33" borderId="19" xfId="57" applyNumberFormat="1" applyFont="1" applyFill="1" applyBorder="1" applyAlignment="1">
      <alignment horizontal="center"/>
      <protection/>
    </xf>
    <xf numFmtId="1" fontId="11" fillId="33" borderId="20" xfId="57" applyNumberFormat="1" applyFont="1" applyFill="1" applyBorder="1" applyAlignment="1">
      <alignment horizontal="center"/>
      <protection/>
    </xf>
    <xf numFmtId="1" fontId="1" fillId="36" borderId="19" xfId="57" applyNumberFormat="1" applyFont="1" applyFill="1" applyBorder="1" applyAlignment="1">
      <alignment horizontal="center"/>
      <protection/>
    </xf>
    <xf numFmtId="1" fontId="1" fillId="10" borderId="19" xfId="57" applyNumberFormat="1" applyFont="1" applyFill="1" applyBorder="1" applyAlignment="1">
      <alignment horizontal="center"/>
      <protection/>
    </xf>
    <xf numFmtId="1" fontId="1" fillId="0" borderId="21" xfId="57" applyNumberFormat="1" applyFont="1" applyBorder="1">
      <alignment/>
      <protection/>
    </xf>
    <xf numFmtId="2" fontId="14" fillId="0" borderId="12" xfId="57" applyFont="1" applyBorder="1">
      <alignment/>
      <protection/>
    </xf>
    <xf numFmtId="2" fontId="0" fillId="0" borderId="22" xfId="57" applyFont="1" applyBorder="1">
      <alignment/>
      <protection/>
    </xf>
    <xf numFmtId="2" fontId="0" fillId="0" borderId="0" xfId="57" applyFont="1" applyBorder="1">
      <alignment/>
      <protection/>
    </xf>
    <xf numFmtId="2" fontId="0" fillId="0" borderId="0" xfId="57" applyFont="1" applyBorder="1" applyAlignment="1">
      <alignment/>
      <protection/>
    </xf>
    <xf numFmtId="2" fontId="1" fillId="0" borderId="0" xfId="57" applyFont="1" applyBorder="1" applyAlignment="1">
      <alignment/>
      <protection/>
    </xf>
    <xf numFmtId="1" fontId="0" fillId="0" borderId="12" xfId="57" applyNumberFormat="1" applyFont="1" applyFill="1" applyBorder="1" applyAlignment="1">
      <alignment horizontal="center"/>
      <protection/>
    </xf>
    <xf numFmtId="2" fontId="1" fillId="0" borderId="0" xfId="57" applyFont="1" applyBorder="1">
      <alignment/>
      <protection/>
    </xf>
    <xf numFmtId="2" fontId="1" fillId="0" borderId="11" xfId="57" applyFont="1" applyFill="1" applyBorder="1">
      <alignment/>
      <protection/>
    </xf>
    <xf numFmtId="2" fontId="0" fillId="0" borderId="10" xfId="57" applyFont="1" applyBorder="1" applyAlignment="1">
      <alignment horizontal="center"/>
      <protection/>
    </xf>
    <xf numFmtId="2" fontId="1" fillId="0" borderId="10" xfId="57" applyFont="1" applyBorder="1">
      <alignment/>
      <protection/>
    </xf>
    <xf numFmtId="11" fontId="0" fillId="0" borderId="10" xfId="57" applyNumberFormat="1" applyFont="1" applyBorder="1" applyAlignment="1">
      <alignment horizontal="center"/>
      <protection/>
    </xf>
    <xf numFmtId="1" fontId="0" fillId="0" borderId="0" xfId="57" applyNumberFormat="1" applyFont="1" applyAlignment="1">
      <alignment horizontal="center"/>
      <protection/>
    </xf>
    <xf numFmtId="2" fontId="0" fillId="0" borderId="10" xfId="57" applyFont="1" applyBorder="1" applyAlignment="1" applyProtection="1">
      <alignment horizontal="center"/>
      <protection/>
    </xf>
    <xf numFmtId="2" fontId="1" fillId="0" borderId="10" xfId="57" applyFont="1" applyBorder="1" applyAlignment="1">
      <alignment horizontal="center"/>
      <protection/>
    </xf>
    <xf numFmtId="2" fontId="1" fillId="0" borderId="0" xfId="57" applyFont="1" applyAlignment="1">
      <alignment horizontal="center"/>
      <protection/>
    </xf>
    <xf numFmtId="2" fontId="0" fillId="0" borderId="0" xfId="57" applyFont="1">
      <alignment/>
      <protection/>
    </xf>
    <xf numFmtId="2" fontId="0" fillId="0" borderId="0" xfId="57" applyFont="1" applyAlignment="1">
      <alignment/>
      <protection/>
    </xf>
    <xf numFmtId="2" fontId="15" fillId="0" borderId="0" xfId="57" applyFont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58" applyFont="1">
      <alignment/>
      <protection/>
    </xf>
    <xf numFmtId="186" fontId="0" fillId="0" borderId="0" xfId="58" applyNumberFormat="1" applyFont="1" applyAlignment="1">
      <alignment horizontal="center"/>
      <protection/>
    </xf>
    <xf numFmtId="2" fontId="0" fillId="0" borderId="23" xfId="58" applyFont="1" applyBorder="1">
      <alignment/>
      <protection/>
    </xf>
    <xf numFmtId="2" fontId="0" fillId="0" borderId="15" xfId="58" applyFont="1" applyBorder="1">
      <alignment/>
      <protection/>
    </xf>
    <xf numFmtId="2" fontId="0" fillId="0" borderId="16" xfId="58" applyFont="1" applyBorder="1">
      <alignment/>
      <protection/>
    </xf>
    <xf numFmtId="1" fontId="0" fillId="0" borderId="24" xfId="58" applyNumberFormat="1" applyFont="1" applyBorder="1" applyAlignment="1">
      <alignment horizontal="center"/>
      <protection/>
    </xf>
    <xf numFmtId="1" fontId="0" fillId="0" borderId="10" xfId="58" applyNumberFormat="1" applyFont="1" applyBorder="1" applyAlignment="1">
      <alignment horizontal="center"/>
      <protection/>
    </xf>
    <xf numFmtId="1" fontId="0" fillId="0" borderId="17" xfId="58" applyNumberFormat="1" applyFont="1" applyBorder="1" applyAlignment="1">
      <alignment horizontal="center"/>
      <protection/>
    </xf>
    <xf numFmtId="1" fontId="1" fillId="0" borderId="24" xfId="58" applyNumberFormat="1" applyFont="1" applyBorder="1">
      <alignment/>
      <protection/>
    </xf>
    <xf numFmtId="1" fontId="1" fillId="0" borderId="10" xfId="58" applyNumberFormat="1" applyFont="1" applyBorder="1" applyAlignment="1">
      <alignment horizontal="center"/>
      <protection/>
    </xf>
    <xf numFmtId="1" fontId="1" fillId="0" borderId="17" xfId="58" applyNumberFormat="1" applyFont="1" applyBorder="1">
      <alignment/>
      <protection/>
    </xf>
    <xf numFmtId="1" fontId="1" fillId="0" borderId="25" xfId="58" applyNumberFormat="1" applyFont="1" applyBorder="1" applyAlignment="1">
      <alignment horizontal="center"/>
      <protection/>
    </xf>
    <xf numFmtId="1" fontId="1" fillId="0" borderId="19" xfId="58" applyNumberFormat="1" applyFont="1" applyBorder="1" applyAlignment="1">
      <alignment horizontal="center"/>
      <protection/>
    </xf>
    <xf numFmtId="1" fontId="1" fillId="0" borderId="21" xfId="58" applyNumberFormat="1" applyFont="1" applyBorder="1">
      <alignment/>
      <protection/>
    </xf>
    <xf numFmtId="11" fontId="0" fillId="0" borderId="0" xfId="58" applyNumberFormat="1" applyFont="1" applyAlignment="1">
      <alignment horizontal="center"/>
      <protection/>
    </xf>
    <xf numFmtId="2" fontId="0" fillId="0" borderId="0" xfId="58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2" fontId="1" fillId="0" borderId="0" xfId="58" applyFont="1" applyAlignment="1">
      <alignment horizontal="center"/>
      <protection/>
    </xf>
    <xf numFmtId="2" fontId="1" fillId="0" borderId="26" xfId="57" applyFont="1" applyBorder="1" applyAlignment="1">
      <alignment horizontal="center" wrapText="1"/>
      <protection/>
    </xf>
    <xf numFmtId="2" fontId="1" fillId="0" borderId="19" xfId="57" applyFont="1" applyBorder="1" applyAlignment="1">
      <alignment horizontal="center" wrapText="1"/>
      <protection/>
    </xf>
    <xf numFmtId="2" fontId="1" fillId="0" borderId="14" xfId="57" applyFont="1" applyBorder="1" applyAlignment="1">
      <alignment horizontal="center" wrapText="1"/>
      <protection/>
    </xf>
    <xf numFmtId="2" fontId="1" fillId="0" borderId="10" xfId="57" applyFont="1" applyBorder="1" applyAlignment="1">
      <alignment horizontal="center" wrapText="1"/>
      <protection/>
    </xf>
    <xf numFmtId="186" fontId="0" fillId="0" borderId="0" xfId="57" applyNumberFormat="1" applyFont="1" applyAlignment="1">
      <alignment horizontal="center"/>
      <protection/>
    </xf>
    <xf numFmtId="2" fontId="0" fillId="0" borderId="27" xfId="57" applyFont="1" applyBorder="1">
      <alignment/>
      <protection/>
    </xf>
    <xf numFmtId="2" fontId="0" fillId="0" borderId="15" xfId="57" applyFont="1" applyBorder="1">
      <alignment/>
      <protection/>
    </xf>
    <xf numFmtId="2" fontId="0" fillId="0" borderId="28" xfId="57" applyFont="1" applyBorder="1">
      <alignment/>
      <protection/>
    </xf>
    <xf numFmtId="1" fontId="0" fillId="0" borderId="0" xfId="57" applyNumberFormat="1" applyFont="1">
      <alignment/>
      <protection/>
    </xf>
    <xf numFmtId="1" fontId="0" fillId="0" borderId="24" xfId="57" applyNumberFormat="1" applyFont="1" applyBorder="1" applyAlignment="1">
      <alignment horizontal="center"/>
      <protection/>
    </xf>
    <xf numFmtId="1" fontId="0" fillId="0" borderId="17" xfId="57" applyNumberFormat="1" applyFont="1" applyBorder="1" applyAlignment="1">
      <alignment horizontal="center"/>
      <protection/>
    </xf>
    <xf numFmtId="2" fontId="1" fillId="0" borderId="24" xfId="57" applyFont="1" applyBorder="1">
      <alignment/>
      <protection/>
    </xf>
    <xf numFmtId="2" fontId="1" fillId="0" borderId="17" xfId="57" applyFont="1" applyBorder="1">
      <alignment/>
      <protection/>
    </xf>
    <xf numFmtId="1" fontId="1" fillId="0" borderId="29" xfId="57" applyNumberFormat="1" applyFont="1" applyBorder="1" applyAlignment="1">
      <alignment horizontal="center"/>
      <protection/>
    </xf>
    <xf numFmtId="1" fontId="1" fillId="0" borderId="19" xfId="57" applyNumberFormat="1" applyFont="1" applyBorder="1" applyAlignment="1">
      <alignment horizontal="center"/>
      <protection/>
    </xf>
    <xf numFmtId="2" fontId="1" fillId="0" borderId="30" xfId="57" applyFont="1" applyBorder="1">
      <alignment/>
      <protection/>
    </xf>
    <xf numFmtId="11" fontId="0" fillId="0" borderId="0" xfId="57" applyNumberFormat="1" applyFont="1" applyAlignment="1">
      <alignment horizontal="center"/>
      <protection/>
    </xf>
    <xf numFmtId="2" fontId="0" fillId="0" borderId="0" xfId="57" applyFont="1" applyAlignment="1">
      <alignment horizontal="center"/>
      <protection/>
    </xf>
    <xf numFmtId="2" fontId="0" fillId="35" borderId="23" xfId="57" applyFont="1" applyFill="1" applyBorder="1">
      <alignment/>
      <protection/>
    </xf>
    <xf numFmtId="2" fontId="0" fillId="0" borderId="16" xfId="57" applyFont="1" applyBorder="1">
      <alignment/>
      <protection/>
    </xf>
    <xf numFmtId="1" fontId="19" fillId="35" borderId="24" xfId="57" applyNumberFormat="1" applyFont="1" applyFill="1" applyBorder="1" applyAlignment="1">
      <alignment horizontal="center"/>
      <protection/>
    </xf>
    <xf numFmtId="1" fontId="1" fillId="35" borderId="24" xfId="57" applyNumberFormat="1" applyFont="1" applyFill="1" applyBorder="1">
      <alignment/>
      <protection/>
    </xf>
    <xf numFmtId="1" fontId="1" fillId="35" borderId="25" xfId="57" applyNumberFormat="1" applyFont="1" applyFill="1" applyBorder="1" applyAlignment="1">
      <alignment horizontal="center"/>
      <protection/>
    </xf>
    <xf numFmtId="2" fontId="1" fillId="0" borderId="14" xfId="57" applyFont="1" applyBorder="1">
      <alignment/>
      <protection/>
    </xf>
    <xf numFmtId="2" fontId="1" fillId="0" borderId="22" xfId="57" applyFont="1" applyBorder="1" applyAlignment="1">
      <alignment/>
      <protection/>
    </xf>
    <xf numFmtId="2" fontId="0" fillId="0" borderId="13" xfId="57" applyFont="1" applyBorder="1" applyAlignment="1">
      <alignment/>
      <protection/>
    </xf>
    <xf numFmtId="2" fontId="4" fillId="0" borderId="31" xfId="57" applyFont="1" applyBorder="1" applyAlignment="1">
      <alignment horizontal="center"/>
      <protection/>
    </xf>
    <xf numFmtId="2" fontId="4" fillId="0" borderId="32" xfId="57" applyFont="1" applyBorder="1" applyAlignment="1">
      <alignment horizontal="center"/>
      <protection/>
    </xf>
    <xf numFmtId="2" fontId="4" fillId="0" borderId="33" xfId="57" applyFont="1" applyBorder="1" applyAlignment="1">
      <alignment horizontal="center"/>
      <protection/>
    </xf>
    <xf numFmtId="2" fontId="0" fillId="0" borderId="22" xfId="57" applyFont="1" applyBorder="1" applyAlignment="1">
      <alignment wrapText="1"/>
      <protection/>
    </xf>
    <xf numFmtId="2" fontId="0" fillId="0" borderId="13" xfId="57" applyFont="1" applyBorder="1" applyAlignment="1">
      <alignment wrapText="1"/>
      <protection/>
    </xf>
    <xf numFmtId="2" fontId="0" fillId="0" borderId="12" xfId="57" applyFont="1" applyBorder="1" applyAlignment="1">
      <alignment wrapText="1"/>
      <protection/>
    </xf>
    <xf numFmtId="2" fontId="1" fillId="0" borderId="18" xfId="57" applyFont="1" applyBorder="1" applyAlignment="1">
      <alignment horizontal="center"/>
      <protection/>
    </xf>
    <xf numFmtId="2" fontId="1" fillId="0" borderId="34" xfId="57" applyFont="1" applyBorder="1" applyAlignment="1">
      <alignment horizontal="center"/>
      <protection/>
    </xf>
    <xf numFmtId="2" fontId="1" fillId="0" borderId="14" xfId="57" applyFont="1" applyBorder="1" applyAlignment="1">
      <alignment horizontal="center"/>
      <protection/>
    </xf>
    <xf numFmtId="2" fontId="18" fillId="0" borderId="0" xfId="57" applyFont="1" applyAlignment="1">
      <alignment horizontal="center"/>
      <protection/>
    </xf>
    <xf numFmtId="2" fontId="0" fillId="0" borderId="0" xfId="57" applyFont="1" applyAlignment="1">
      <alignment/>
      <protection/>
    </xf>
    <xf numFmtId="2" fontId="4" fillId="0" borderId="35" xfId="57" applyFont="1" applyBorder="1" applyAlignment="1">
      <alignment horizontal="center"/>
      <protection/>
    </xf>
    <xf numFmtId="2" fontId="0" fillId="0" borderId="36" xfId="57" applyFont="1" applyBorder="1" applyAlignment="1">
      <alignment wrapText="1"/>
      <protection/>
    </xf>
    <xf numFmtId="2" fontId="0" fillId="0" borderId="37" xfId="57" applyFont="1" applyBorder="1" applyAlignment="1">
      <alignment wrapText="1"/>
      <protection/>
    </xf>
    <xf numFmtId="2" fontId="0" fillId="0" borderId="38" xfId="57" applyFont="1" applyBorder="1" applyAlignment="1">
      <alignment wrapText="1"/>
      <protection/>
    </xf>
    <xf numFmtId="2" fontId="1" fillId="0" borderId="39" xfId="57" applyFont="1" applyBorder="1" applyAlignment="1">
      <alignment/>
      <protection/>
    </xf>
    <xf numFmtId="2" fontId="0" fillId="0" borderId="40" xfId="57" applyFont="1" applyBorder="1" applyAlignment="1">
      <alignment/>
      <protection/>
    </xf>
    <xf numFmtId="2" fontId="0" fillId="0" borderId="41" xfId="57" applyFont="1" applyBorder="1" applyAlignment="1">
      <alignment/>
      <protection/>
    </xf>
    <xf numFmtId="2" fontId="0" fillId="0" borderId="10" xfId="57" applyFont="1" applyBorder="1" applyAlignment="1">
      <alignment horizontal="center"/>
      <protection/>
    </xf>
    <xf numFmtId="2" fontId="18" fillId="0" borderId="0" xfId="58" applyFont="1" applyAlignment="1">
      <alignment horizontal="center"/>
      <protection/>
    </xf>
    <xf numFmtId="2" fontId="4" fillId="0" borderId="42" xfId="58" applyFont="1" applyBorder="1" applyAlignment="1">
      <alignment horizontal="center"/>
      <protection/>
    </xf>
    <xf numFmtId="2" fontId="4" fillId="0" borderId="43" xfId="58" applyFont="1" applyBorder="1" applyAlignment="1">
      <alignment horizontal="center"/>
      <protection/>
    </xf>
    <xf numFmtId="2" fontId="4" fillId="0" borderId="44" xfId="58" applyFont="1" applyBorder="1" applyAlignment="1">
      <alignment horizontal="center"/>
      <protection/>
    </xf>
    <xf numFmtId="2" fontId="0" fillId="0" borderId="36" xfId="58" applyFont="1" applyBorder="1" applyAlignment="1">
      <alignment wrapText="1"/>
      <protection/>
    </xf>
    <xf numFmtId="2" fontId="0" fillId="0" borderId="37" xfId="58" applyFont="1" applyBorder="1" applyAlignment="1">
      <alignment wrapText="1"/>
      <protection/>
    </xf>
    <xf numFmtId="2" fontId="0" fillId="0" borderId="38" xfId="58" applyFont="1" applyBorder="1" applyAlignment="1">
      <alignment wrapText="1"/>
      <protection/>
    </xf>
    <xf numFmtId="2" fontId="4" fillId="0" borderId="42" xfId="57" applyFont="1" applyBorder="1" applyAlignment="1">
      <alignment horizontal="center"/>
      <protection/>
    </xf>
    <xf numFmtId="2" fontId="4" fillId="0" borderId="43" xfId="57" applyFont="1" applyBorder="1" applyAlignment="1">
      <alignment horizontal="center"/>
      <protection/>
    </xf>
    <xf numFmtId="2" fontId="4" fillId="0" borderId="44" xfId="57" applyFont="1" applyBorder="1" applyAlignment="1">
      <alignment horizontal="center"/>
      <protection/>
    </xf>
    <xf numFmtId="2" fontId="0" fillId="0" borderId="45" xfId="57" applyFont="1" applyBorder="1" applyAlignment="1">
      <alignment wrapText="1"/>
      <protection/>
    </xf>
    <xf numFmtId="2" fontId="0" fillId="0" borderId="46" xfId="57" applyFont="1" applyBorder="1" applyAlignment="1">
      <alignment wrapText="1"/>
      <protection/>
    </xf>
    <xf numFmtId="2" fontId="0" fillId="0" borderId="47" xfId="57" applyFont="1" applyBorder="1" applyAlignment="1">
      <alignment wrapText="1"/>
      <protection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11" fontId="0" fillId="0" borderId="10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 Chart</a:t>
            </a:r>
          </a:p>
        </c:rich>
      </c:tx>
      <c:layout>
        <c:manualLayout>
          <c:xMode val="factor"/>
          <c:yMode val="factor"/>
          <c:x val="-0.060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975"/>
          <c:w val="0.679"/>
          <c:h val="0.771"/>
        </c:manualLayout>
      </c:layout>
      <c:lineChart>
        <c:grouping val="standard"/>
        <c:varyColors val="0"/>
        <c:ser>
          <c:idx val="0"/>
          <c:order val="0"/>
          <c:tx>
            <c:v>First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'012'!$B$45:$H$45</c:f>
              <c:numCache/>
            </c:numRef>
          </c:cat>
          <c:val>
            <c:numRef>
              <c:f>'012'!$B$46:$I$46</c:f>
              <c:numCache/>
            </c:numRef>
          </c:val>
          <c:smooth val="0"/>
        </c:ser>
        <c:ser>
          <c:idx val="1"/>
          <c:order val="1"/>
          <c:tx>
            <c:v>Second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'012'!$B$45:$H$45</c:f>
              <c:numCache/>
            </c:numRef>
          </c:cat>
          <c:val>
            <c:numRef>
              <c:f>'012'!$B$47:$I$47</c:f>
              <c:numCache/>
            </c:numRef>
          </c:val>
          <c:smooth val="0"/>
        </c:ser>
        <c:ser>
          <c:idx val="2"/>
          <c:order val="2"/>
          <c:tx>
            <c:v>Third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'012'!$B$45:$H$45</c:f>
              <c:numCache/>
            </c:numRef>
          </c:cat>
          <c:val>
            <c:numRef>
              <c:f>'012'!$B$48:$I$48</c:f>
              <c:numCache/>
            </c:numRef>
          </c:val>
          <c:smooth val="0"/>
        </c:ser>
        <c:ser>
          <c:idx val="3"/>
          <c:order val="3"/>
          <c:tx>
            <c:v>Fourth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'012'!$B$45:$H$45</c:f>
              <c:numCache/>
            </c:numRef>
          </c:cat>
          <c:val>
            <c:numRef>
              <c:f>'012'!$B$49:$I$49</c:f>
              <c:numCache/>
            </c:numRef>
          </c:val>
          <c:smooth val="0"/>
        </c:ser>
        <c:ser>
          <c:idx val="4"/>
          <c:order val="4"/>
          <c:tx>
            <c:v>Fifth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'012'!$B$45:$H$45</c:f>
              <c:numCache/>
            </c:numRef>
          </c:cat>
          <c:val>
            <c:numRef>
              <c:f>'012'!$B$50:$I$50</c:f>
              <c:numCache/>
            </c:numRef>
          </c:val>
          <c:smooth val="0"/>
        </c:ser>
        <c:marker val="1"/>
        <c:axId val="20674202"/>
        <c:axId val="51850091"/>
      </c:lineChart>
      <c:catAx>
        <c:axId val="2067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in MPH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36875"/>
          <c:w val="0.236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Transmission Chart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425"/>
          <c:w val="0.707"/>
          <c:h val="0.7665"/>
        </c:manualLayout>
      </c:layout>
      <c:lineChart>
        <c:grouping val="standard"/>
        <c:varyColors val="0"/>
        <c:ser>
          <c:idx val="0"/>
          <c:order val="0"/>
          <c:tx>
            <c:v>First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'Type 915'!$B$25:$H$25</c:f>
              <c:numCache/>
            </c:numRef>
          </c:cat>
          <c:val>
            <c:numRef>
              <c:f>'Type 915'!$B$26:$H$26</c:f>
              <c:numCache/>
            </c:numRef>
          </c:val>
          <c:smooth val="0"/>
        </c:ser>
        <c:ser>
          <c:idx val="1"/>
          <c:order val="1"/>
          <c:tx>
            <c:v>Second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'Type 915'!$B$25:$H$25</c:f>
              <c:numCache/>
            </c:numRef>
          </c:cat>
          <c:val>
            <c:numRef>
              <c:f>'Type 915'!$B$27:$H$27</c:f>
              <c:numCache/>
            </c:numRef>
          </c:val>
          <c:smooth val="0"/>
        </c:ser>
        <c:ser>
          <c:idx val="2"/>
          <c:order val="2"/>
          <c:tx>
            <c:v>Third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'Type 915'!$B$25:$H$25</c:f>
              <c:numCache/>
            </c:numRef>
          </c:cat>
          <c:val>
            <c:numRef>
              <c:f>'Type 915'!$B$28:$H$28</c:f>
              <c:numCache/>
            </c:numRef>
          </c:val>
          <c:smooth val="0"/>
        </c:ser>
        <c:ser>
          <c:idx val="3"/>
          <c:order val="3"/>
          <c:tx>
            <c:v>Fourth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'Type 915'!$B$25:$H$25</c:f>
              <c:numCache/>
            </c:numRef>
          </c:cat>
          <c:val>
            <c:numRef>
              <c:f>'Type 915'!$B$29:$H$29</c:f>
              <c:numCache/>
            </c:numRef>
          </c:val>
          <c:smooth val="0"/>
        </c:ser>
        <c:ser>
          <c:idx val="4"/>
          <c:order val="4"/>
          <c:tx>
            <c:v>Fifth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'Type 915'!$B$25:$H$25</c:f>
              <c:numCache/>
            </c:numRef>
          </c:cat>
          <c:val>
            <c:numRef>
              <c:f>'Type 915'!$B$30:$H$30</c:f>
              <c:numCache/>
            </c:numRef>
          </c:val>
          <c:smooth val="0"/>
        </c:ser>
        <c:marker val="1"/>
        <c:axId val="63997636"/>
        <c:axId val="39107813"/>
      </c:lineChart>
      <c:catAx>
        <c:axId val="639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in MPH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37075"/>
          <c:w val="0.214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9525</xdr:rowOff>
    </xdr:from>
    <xdr:to>
      <xdr:col>11</xdr:col>
      <xdr:colOff>47625</xdr:colOff>
      <xdr:row>83</xdr:row>
      <xdr:rowOff>38100</xdr:rowOff>
    </xdr:to>
    <xdr:graphicFrame>
      <xdr:nvGraphicFramePr>
        <xdr:cNvPr id="1" name="Chart 4"/>
        <xdr:cNvGraphicFramePr/>
      </xdr:nvGraphicFramePr>
      <xdr:xfrm>
        <a:off x="952500" y="9582150"/>
        <a:ext cx="5572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12</xdr:col>
      <xdr:colOff>428625</xdr:colOff>
      <xdr:row>20</xdr:row>
      <xdr:rowOff>76200</xdr:rowOff>
    </xdr:to>
    <xdr:pic>
      <xdr:nvPicPr>
        <xdr:cNvPr id="1" name="Picture 1" descr="01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866775"/>
          <a:ext cx="40005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6</xdr:row>
      <xdr:rowOff>123825</xdr:rowOff>
    </xdr:from>
    <xdr:to>
      <xdr:col>13</xdr:col>
      <xdr:colOff>304800</xdr:colOff>
      <xdr:row>19</xdr:row>
      <xdr:rowOff>104775</xdr:rowOff>
    </xdr:to>
    <xdr:pic>
      <xdr:nvPicPr>
        <xdr:cNvPr id="1" name="Picture 2" descr="g8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095375"/>
          <a:ext cx="3333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31</xdr:row>
      <xdr:rowOff>95250</xdr:rowOff>
    </xdr:from>
    <xdr:to>
      <xdr:col>13</xdr:col>
      <xdr:colOff>371475</xdr:colOff>
      <xdr:row>43</xdr:row>
      <xdr:rowOff>114300</xdr:rowOff>
    </xdr:to>
    <xdr:pic>
      <xdr:nvPicPr>
        <xdr:cNvPr id="2" name="Picture 2" descr="g86.2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5276850"/>
          <a:ext cx="3333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33</xdr:row>
      <xdr:rowOff>114300</xdr:rowOff>
    </xdr:from>
    <xdr:to>
      <xdr:col>13</xdr:col>
      <xdr:colOff>238125</xdr:colOff>
      <xdr:row>46</xdr:row>
      <xdr:rowOff>142875</xdr:rowOff>
    </xdr:to>
    <xdr:pic>
      <xdr:nvPicPr>
        <xdr:cNvPr id="1" name="Picture 1" descr="g8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457825"/>
          <a:ext cx="33337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13</xdr:col>
      <xdr:colOff>285750</xdr:colOff>
      <xdr:row>25</xdr:row>
      <xdr:rowOff>76200</xdr:rowOff>
    </xdr:to>
    <xdr:pic>
      <xdr:nvPicPr>
        <xdr:cNvPr id="2" name="Picture 2" descr="g87.0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19250"/>
          <a:ext cx="33337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11</xdr:col>
      <xdr:colOff>9525</xdr:colOff>
      <xdr:row>58</xdr:row>
      <xdr:rowOff>19050</xdr:rowOff>
    </xdr:to>
    <xdr:graphicFrame>
      <xdr:nvGraphicFramePr>
        <xdr:cNvPr id="1" name="Chart 2"/>
        <xdr:cNvGraphicFramePr/>
      </xdr:nvGraphicFramePr>
      <xdr:xfrm>
        <a:off x="1257300" y="5486400"/>
        <a:ext cx="6124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3.8515625" style="51" customWidth="1"/>
    <col min="2" max="2" width="8.140625" style="51" customWidth="1"/>
    <col min="3" max="3" width="8.57421875" style="51" customWidth="1"/>
    <col min="4" max="4" width="8.140625" style="51" customWidth="1"/>
    <col min="5" max="5" width="9.28125" style="51" customWidth="1"/>
    <col min="6" max="6" width="8.140625" style="51" customWidth="1"/>
    <col min="7" max="7" width="8.28125" style="51" customWidth="1"/>
    <col min="8" max="8" width="8.00390625" style="51" customWidth="1"/>
    <col min="9" max="9" width="9.140625" style="51" customWidth="1"/>
    <col min="10" max="10" width="7.421875" style="51" customWidth="1"/>
    <col min="11" max="11" width="8.140625" style="51" customWidth="1"/>
    <col min="12" max="12" width="8.00390625" style="51" customWidth="1"/>
    <col min="13" max="13" width="8.28125" style="51" customWidth="1"/>
    <col min="14" max="14" width="7.7109375" style="51" customWidth="1"/>
    <col min="15" max="15" width="8.140625" style="51" customWidth="1"/>
    <col min="16" max="16" width="7.7109375" style="51" customWidth="1"/>
    <col min="17" max="16384" width="9.140625" style="51" customWidth="1"/>
  </cols>
  <sheetData>
    <row r="1" spans="1:11" s="91" customFormat="1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2"/>
    </row>
    <row r="2" spans="1:11" s="91" customFormat="1" ht="36" customHeight="1">
      <c r="A2" s="90"/>
      <c r="B2" s="90"/>
      <c r="C2" s="90"/>
      <c r="D2" s="90"/>
      <c r="E2" s="90"/>
      <c r="F2" s="90"/>
      <c r="G2" s="90"/>
      <c r="H2" s="90"/>
      <c r="I2" s="93" t="s">
        <v>109</v>
      </c>
      <c r="J2" s="90"/>
      <c r="K2" s="92"/>
    </row>
    <row r="3" spans="1:11" s="9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2"/>
    </row>
    <row r="4" spans="1:19" s="91" customFormat="1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2"/>
      <c r="M4" s="45"/>
      <c r="N4" s="45" t="s">
        <v>160</v>
      </c>
      <c r="O4" s="45"/>
      <c r="P4" s="45"/>
      <c r="Q4" s="45"/>
      <c r="R4" s="45" t="s">
        <v>160</v>
      </c>
      <c r="S4" s="45"/>
    </row>
    <row r="5" spans="1:19" ht="12.75">
      <c r="A5" s="85" t="s">
        <v>108</v>
      </c>
      <c r="B5" s="84">
        <v>4.11</v>
      </c>
      <c r="C5" s="89" t="s">
        <v>107</v>
      </c>
      <c r="E5" s="151" t="s">
        <v>106</v>
      </c>
      <c r="F5" s="152"/>
      <c r="G5" s="153"/>
      <c r="I5" s="151" t="s">
        <v>105</v>
      </c>
      <c r="J5" s="152"/>
      <c r="K5" s="153"/>
      <c r="L5" s="90"/>
      <c r="M5" s="177" t="s">
        <v>106</v>
      </c>
      <c r="N5" s="178"/>
      <c r="O5" s="179"/>
      <c r="P5"/>
      <c r="Q5" s="177" t="s">
        <v>105</v>
      </c>
      <c r="R5" s="178"/>
      <c r="S5" s="179"/>
    </row>
    <row r="6" spans="1:19" ht="12.75">
      <c r="A6" s="85" t="s">
        <v>104</v>
      </c>
      <c r="B6" s="84">
        <v>3.55</v>
      </c>
      <c r="C6" s="84">
        <f>B6*B5</f>
        <v>14.5905</v>
      </c>
      <c r="E6" s="85" t="s">
        <v>103</v>
      </c>
      <c r="F6" s="54">
        <v>19</v>
      </c>
      <c r="G6" s="84" t="s">
        <v>102</v>
      </c>
      <c r="I6" s="85" t="s">
        <v>103</v>
      </c>
      <c r="J6" s="54">
        <v>18</v>
      </c>
      <c r="K6" s="84" t="s">
        <v>102</v>
      </c>
      <c r="L6" s="87"/>
      <c r="M6" s="180" t="s">
        <v>103</v>
      </c>
      <c r="N6" s="181">
        <v>18</v>
      </c>
      <c r="O6" s="182" t="s">
        <v>102</v>
      </c>
      <c r="P6"/>
      <c r="Q6" s="180" t="s">
        <v>103</v>
      </c>
      <c r="R6" s="181">
        <v>18</v>
      </c>
      <c r="S6" s="182" t="s">
        <v>102</v>
      </c>
    </row>
    <row r="7" spans="1:19" ht="12.75">
      <c r="A7" s="85" t="s">
        <v>101</v>
      </c>
      <c r="B7" s="84">
        <v>2.11</v>
      </c>
      <c r="C7" s="84">
        <f>B7*B5</f>
        <v>8.6721</v>
      </c>
      <c r="E7" s="85" t="s">
        <v>100</v>
      </c>
      <c r="F7" s="54">
        <v>30</v>
      </c>
      <c r="G7" s="84">
        <f>G8*F7/100</f>
        <v>4.074803149606299</v>
      </c>
      <c r="I7" s="85" t="s">
        <v>100</v>
      </c>
      <c r="J7" s="54">
        <v>35</v>
      </c>
      <c r="K7" s="84">
        <f>K8*J7/100</f>
        <v>3.7893700787401574</v>
      </c>
      <c r="L7" s="87"/>
      <c r="M7" s="180" t="s">
        <v>100</v>
      </c>
      <c r="N7" s="181">
        <v>45</v>
      </c>
      <c r="O7" s="182">
        <f>O8*N7/100</f>
        <v>4.6948818897637805</v>
      </c>
      <c r="P7"/>
      <c r="Q7" s="180" t="s">
        <v>100</v>
      </c>
      <c r="R7" s="181">
        <v>55</v>
      </c>
      <c r="S7" s="182">
        <f>S8*R7/100</f>
        <v>4.655511811023622</v>
      </c>
    </row>
    <row r="8" spans="1:19" ht="12.75">
      <c r="A8" s="85" t="s">
        <v>99</v>
      </c>
      <c r="B8" s="84">
        <v>1.3</v>
      </c>
      <c r="C8" s="84">
        <f>B8*B5</f>
        <v>5.343000000000001</v>
      </c>
      <c r="E8" s="85" t="s">
        <v>98</v>
      </c>
      <c r="F8" s="54">
        <v>345</v>
      </c>
      <c r="G8" s="89">
        <f>F8/25.4</f>
        <v>13.582677165354331</v>
      </c>
      <c r="I8" s="85" t="s">
        <v>98</v>
      </c>
      <c r="J8" s="54">
        <v>275</v>
      </c>
      <c r="K8" s="89">
        <f>J8/25.4</f>
        <v>10.826771653543307</v>
      </c>
      <c r="L8" s="87"/>
      <c r="M8" s="180" t="s">
        <v>98</v>
      </c>
      <c r="N8" s="181">
        <v>265</v>
      </c>
      <c r="O8" s="183">
        <f>N8/25.4</f>
        <v>10.433070866141733</v>
      </c>
      <c r="P8"/>
      <c r="Q8" s="180" t="s">
        <v>98</v>
      </c>
      <c r="R8" s="181">
        <v>215</v>
      </c>
      <c r="S8" s="183">
        <f>R8/25.4</f>
        <v>8.46456692913386</v>
      </c>
    </row>
    <row r="9" spans="1:19" ht="12.75">
      <c r="A9" s="85" t="s">
        <v>97</v>
      </c>
      <c r="B9" s="84">
        <v>0.94</v>
      </c>
      <c r="C9" s="84">
        <f>B9*B5</f>
        <v>3.8634</v>
      </c>
      <c r="E9" s="85" t="s">
        <v>96</v>
      </c>
      <c r="F9" s="88">
        <f>F6+(2*G7)</f>
        <v>27.1496062992126</v>
      </c>
      <c r="G9" s="84"/>
      <c r="I9" s="85" t="s">
        <v>96</v>
      </c>
      <c r="J9" s="84">
        <f>J6+(2*K7)</f>
        <v>25.578740157480315</v>
      </c>
      <c r="L9" s="87"/>
      <c r="M9" s="180" t="s">
        <v>96</v>
      </c>
      <c r="N9" s="184">
        <f>N6+(2*O7)</f>
        <v>27.389763779527563</v>
      </c>
      <c r="O9" s="182"/>
      <c r="P9"/>
      <c r="Q9" s="180" t="s">
        <v>96</v>
      </c>
      <c r="R9" s="182">
        <f>R6+(2*S7)</f>
        <v>27.311023622047244</v>
      </c>
      <c r="S9" s="182"/>
    </row>
    <row r="10" spans="1:19" ht="12.75">
      <c r="A10" s="85" t="s">
        <v>95</v>
      </c>
      <c r="B10" s="84">
        <v>0.79</v>
      </c>
      <c r="C10" s="84">
        <f>B10*B5</f>
        <v>3.2469000000000006</v>
      </c>
      <c r="E10" s="85" t="s">
        <v>94</v>
      </c>
      <c r="F10" s="84">
        <f>3.1416*F9</f>
        <v>85.2932031496063</v>
      </c>
      <c r="G10" s="86">
        <f>F10/(12*5280)</f>
        <v>0.0013461679790026247</v>
      </c>
      <c r="I10" s="85" t="s">
        <v>94</v>
      </c>
      <c r="J10" s="84">
        <f>3.1416*J9</f>
        <v>80.35817007874016</v>
      </c>
      <c r="K10" s="86">
        <f>J10/(12*5280)</f>
        <v>0.0012682791994750656</v>
      </c>
      <c r="L10" s="87"/>
      <c r="M10" s="180" t="s">
        <v>94</v>
      </c>
      <c r="N10" s="182">
        <f>3.1416*N9</f>
        <v>86.0476818897638</v>
      </c>
      <c r="O10" s="185">
        <f>N10/(12*5280)</f>
        <v>0.001358075787401575</v>
      </c>
      <c r="P10"/>
      <c r="Q10" s="180" t="s">
        <v>94</v>
      </c>
      <c r="R10" s="182">
        <f>3.1416*R9</f>
        <v>85.80031181102362</v>
      </c>
      <c r="S10" s="185">
        <f>R10/(12*5280)</f>
        <v>0.001354171587926509</v>
      </c>
    </row>
    <row r="11" spans="1:19" ht="12.75">
      <c r="A11" s="85" t="s">
        <v>93</v>
      </c>
      <c r="B11" s="84">
        <v>3.5</v>
      </c>
      <c r="C11" s="84">
        <f>B11*B5</f>
        <v>14.385000000000002</v>
      </c>
      <c r="G11" s="51">
        <f>F10*60/(12*5280)</f>
        <v>0.08077007874015747</v>
      </c>
      <c r="K11" s="51">
        <f>J10*60/(12*5280)</f>
        <v>0.07609675196850393</v>
      </c>
      <c r="M11" s="182"/>
      <c r="N11"/>
      <c r="O11">
        <f>N10*60/(12*5280)</f>
        <v>0.08148454724409451</v>
      </c>
      <c r="P11"/>
      <c r="Q11"/>
      <c r="R11"/>
      <c r="S11">
        <f>R10*60/(12*5280)</f>
        <v>0.08125029527559055</v>
      </c>
    </row>
    <row r="12" ht="12.75">
      <c r="A12" s="83" t="s">
        <v>92</v>
      </c>
    </row>
    <row r="13" ht="12.75">
      <c r="A13" s="82" t="s">
        <v>91</v>
      </c>
    </row>
    <row r="14" spans="1:9" ht="12.75">
      <c r="A14" s="82"/>
      <c r="D14" s="51" t="s">
        <v>90</v>
      </c>
      <c r="G14" s="51" t="s">
        <v>87</v>
      </c>
      <c r="I14" s="51" t="s">
        <v>89</v>
      </c>
    </row>
    <row r="15" spans="1:9" ht="12.75">
      <c r="A15" s="82"/>
      <c r="D15" s="51" t="s">
        <v>88</v>
      </c>
      <c r="G15" s="51" t="s">
        <v>87</v>
      </c>
      <c r="I15" s="51" t="s">
        <v>86</v>
      </c>
    </row>
    <row r="16" spans="1:11" ht="12.75">
      <c r="A16" s="82"/>
      <c r="B16" s="51" t="s">
        <v>85</v>
      </c>
      <c r="D16" s="51" t="s">
        <v>84</v>
      </c>
      <c r="G16" s="51" t="s">
        <v>83</v>
      </c>
      <c r="I16" s="51" t="s">
        <v>80</v>
      </c>
      <c r="K16" s="51" t="s">
        <v>159</v>
      </c>
    </row>
    <row r="17" ht="12.75">
      <c r="A17" s="82"/>
    </row>
    <row r="18" spans="1:9" ht="12.75">
      <c r="A18" s="82"/>
      <c r="D18" s="51" t="s">
        <v>82</v>
      </c>
      <c r="G18" s="51" t="s">
        <v>81</v>
      </c>
      <c r="I18" s="51" t="s">
        <v>80</v>
      </c>
    </row>
    <row r="20" spans="2:13" ht="13.5" thickBot="1">
      <c r="B20" s="80"/>
      <c r="C20" s="79"/>
      <c r="D20" s="79"/>
      <c r="E20" s="79"/>
      <c r="F20" s="79"/>
      <c r="G20" s="79"/>
      <c r="H20" s="79"/>
      <c r="I20" s="79"/>
      <c r="J20" s="79"/>
      <c r="K20" s="79"/>
      <c r="L20" s="78"/>
      <c r="M20" s="78"/>
    </row>
    <row r="21" spans="2:18" ht="17.25" thickBot="1" thickTop="1">
      <c r="B21" s="145" t="s">
        <v>79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77"/>
      <c r="Q21" s="76"/>
      <c r="R21" s="76"/>
    </row>
    <row r="22" spans="2:18" ht="13.5" thickTop="1">
      <c r="B22" s="75" t="s">
        <v>77</v>
      </c>
      <c r="C22" s="74">
        <v>1000</v>
      </c>
      <c r="D22" s="74">
        <v>1500</v>
      </c>
      <c r="E22" s="74">
        <v>2000</v>
      </c>
      <c r="F22" s="74">
        <v>2500</v>
      </c>
      <c r="G22" s="74">
        <v>3000</v>
      </c>
      <c r="H22" s="74">
        <v>3500</v>
      </c>
      <c r="I22" s="74">
        <v>4000</v>
      </c>
      <c r="J22" s="74">
        <v>4500</v>
      </c>
      <c r="K22" s="74">
        <v>5000</v>
      </c>
      <c r="L22" s="74">
        <v>5500</v>
      </c>
      <c r="M22" s="73">
        <v>6000</v>
      </c>
      <c r="N22" s="73">
        <v>6500</v>
      </c>
      <c r="O22" s="72">
        <v>7000</v>
      </c>
      <c r="P22" s="71">
        <v>7500</v>
      </c>
      <c r="Q22" s="70">
        <v>8000</v>
      </c>
      <c r="R22" s="70">
        <v>8500</v>
      </c>
    </row>
    <row r="23" spans="2:18" ht="12.75">
      <c r="B23" s="69" t="s">
        <v>76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8"/>
      <c r="O23" s="67"/>
      <c r="P23" s="66"/>
      <c r="Q23" s="65"/>
      <c r="R23" s="65"/>
    </row>
    <row r="24" spans="2:18" ht="12.75">
      <c r="B24" s="64">
        <v>1</v>
      </c>
      <c r="C24" s="61">
        <f>(C22/C6)*G11</f>
        <v>5.5357992351295335</v>
      </c>
      <c r="D24" s="61">
        <f aca="true" t="shared" si="0" ref="D24:D29">C24*1.5</f>
        <v>8.3036988526943</v>
      </c>
      <c r="E24" s="61">
        <f aca="true" t="shared" si="1" ref="E24:E29">C24*2</f>
        <v>11.071598470259067</v>
      </c>
      <c r="F24" s="61">
        <f aca="true" t="shared" si="2" ref="F24:F29">C24*2.5</f>
        <v>13.839498087823834</v>
      </c>
      <c r="G24" s="61">
        <f aca="true" t="shared" si="3" ref="G24:G29">C24*3</f>
        <v>16.6073977053886</v>
      </c>
      <c r="H24" s="61">
        <f aca="true" t="shared" si="4" ref="H24:H29">C24*3.5</f>
        <v>19.37529732295337</v>
      </c>
      <c r="I24" s="61">
        <f aca="true" t="shared" si="5" ref="I24:I29">C24*4</f>
        <v>22.143196940518134</v>
      </c>
      <c r="J24" s="61">
        <f aca="true" t="shared" si="6" ref="J24:J29">C24*4.5</f>
        <v>24.9110965580829</v>
      </c>
      <c r="K24" s="61">
        <f aca="true" t="shared" si="7" ref="K24:K29">C24*5</f>
        <v>27.67899617564767</v>
      </c>
      <c r="L24" s="61">
        <f aca="true" t="shared" si="8" ref="L24:L29">C24*5.5</f>
        <v>30.446895793212434</v>
      </c>
      <c r="M24" s="60">
        <f aca="true" t="shared" si="9" ref="M24:M29">C24*6</f>
        <v>33.2147954107772</v>
      </c>
      <c r="N24" s="60">
        <f aca="true" t="shared" si="10" ref="N24:N29">C24*6.5</f>
        <v>35.982695028341965</v>
      </c>
      <c r="O24" s="59">
        <f aca="true" t="shared" si="11" ref="O24:O29">C24*7</f>
        <v>38.75059464590674</v>
      </c>
      <c r="P24" s="58">
        <f aca="true" t="shared" si="12" ref="P24:P29">C24*7.5</f>
        <v>41.5184942634715</v>
      </c>
      <c r="Q24" s="57">
        <f aca="true" t="shared" si="13" ref="Q24:Q29">C24*8</f>
        <v>44.28639388103627</v>
      </c>
      <c r="R24" s="57">
        <f aca="true" t="shared" si="14" ref="R24:R29">C24*8.5</f>
        <v>47.054293498601034</v>
      </c>
    </row>
    <row r="25" spans="2:18" ht="12.75">
      <c r="B25" s="64">
        <v>2</v>
      </c>
      <c r="C25" s="61">
        <f>(C22/C7)*G11</f>
        <v>9.313785442990449</v>
      </c>
      <c r="D25" s="61">
        <f t="shared" si="0"/>
        <v>13.970678164485673</v>
      </c>
      <c r="E25" s="61">
        <f t="shared" si="1"/>
        <v>18.627570885980898</v>
      </c>
      <c r="F25" s="61">
        <f t="shared" si="2"/>
        <v>23.284463607476123</v>
      </c>
      <c r="G25" s="61">
        <f t="shared" si="3"/>
        <v>27.941356328971345</v>
      </c>
      <c r="H25" s="61">
        <f t="shared" si="4"/>
        <v>32.59824905046657</v>
      </c>
      <c r="I25" s="61">
        <f t="shared" si="5"/>
        <v>37.255141771961796</v>
      </c>
      <c r="J25" s="61">
        <f t="shared" si="6"/>
        <v>41.91203449345702</v>
      </c>
      <c r="K25" s="61">
        <f t="shared" si="7"/>
        <v>46.56892721495225</v>
      </c>
      <c r="L25" s="61">
        <f t="shared" si="8"/>
        <v>51.22581993644747</v>
      </c>
      <c r="M25" s="60">
        <f t="shared" si="9"/>
        <v>55.88271265794269</v>
      </c>
      <c r="N25" s="60">
        <f t="shared" si="10"/>
        <v>60.539605379437916</v>
      </c>
      <c r="O25" s="59">
        <f t="shared" si="11"/>
        <v>65.19649810093314</v>
      </c>
      <c r="P25" s="58">
        <f t="shared" si="12"/>
        <v>69.85339082242837</v>
      </c>
      <c r="Q25" s="57">
        <f t="shared" si="13"/>
        <v>74.51028354392359</v>
      </c>
      <c r="R25" s="57">
        <f t="shared" si="14"/>
        <v>79.16717626541882</v>
      </c>
    </row>
    <row r="26" spans="2:18" ht="12.75">
      <c r="B26" s="64">
        <v>3</v>
      </c>
      <c r="C26" s="61">
        <f>(C22/C8)*G11</f>
        <v>15.116990219007572</v>
      </c>
      <c r="D26" s="61">
        <f t="shared" si="0"/>
        <v>22.675485328511357</v>
      </c>
      <c r="E26" s="61">
        <f t="shared" si="1"/>
        <v>30.233980438015145</v>
      </c>
      <c r="F26" s="61">
        <f t="shared" si="2"/>
        <v>37.79247554751893</v>
      </c>
      <c r="G26" s="61">
        <f t="shared" si="3"/>
        <v>45.350970657022714</v>
      </c>
      <c r="H26" s="61">
        <f t="shared" si="4"/>
        <v>52.9094657665265</v>
      </c>
      <c r="I26" s="61">
        <f t="shared" si="5"/>
        <v>60.46796087603029</v>
      </c>
      <c r="J26" s="61">
        <f t="shared" si="6"/>
        <v>68.02645598553407</v>
      </c>
      <c r="K26" s="61">
        <f t="shared" si="7"/>
        <v>75.58495109503787</v>
      </c>
      <c r="L26" s="61">
        <f t="shared" si="8"/>
        <v>83.14344620454165</v>
      </c>
      <c r="M26" s="60">
        <f t="shared" si="9"/>
        <v>90.70194131404543</v>
      </c>
      <c r="N26" s="60">
        <f t="shared" si="10"/>
        <v>98.26043642354922</v>
      </c>
      <c r="O26" s="59">
        <f t="shared" si="11"/>
        <v>105.818931533053</v>
      </c>
      <c r="P26" s="58">
        <f t="shared" si="12"/>
        <v>113.3774266425568</v>
      </c>
      <c r="Q26" s="57">
        <f t="shared" si="13"/>
        <v>120.93592175206058</v>
      </c>
      <c r="R26" s="57">
        <f t="shared" si="14"/>
        <v>128.49441686156436</v>
      </c>
    </row>
    <row r="27" spans="2:18" ht="12.75">
      <c r="B27" s="64">
        <v>4</v>
      </c>
      <c r="C27" s="61">
        <f>(C22/C9)*G11</f>
        <v>20.90647583479771</v>
      </c>
      <c r="D27" s="61">
        <f t="shared" si="0"/>
        <v>31.359713752196566</v>
      </c>
      <c r="E27" s="61">
        <f t="shared" si="1"/>
        <v>41.81295166959542</v>
      </c>
      <c r="F27" s="61">
        <f t="shared" si="2"/>
        <v>52.26618958699427</v>
      </c>
      <c r="G27" s="61">
        <f t="shared" si="3"/>
        <v>62.71942750439313</v>
      </c>
      <c r="H27" s="61">
        <f t="shared" si="4"/>
        <v>73.17266542179199</v>
      </c>
      <c r="I27" s="61">
        <f t="shared" si="5"/>
        <v>83.62590333919084</v>
      </c>
      <c r="J27" s="61">
        <f t="shared" si="6"/>
        <v>94.0791412565897</v>
      </c>
      <c r="K27" s="61">
        <f t="shared" si="7"/>
        <v>104.53237917398855</v>
      </c>
      <c r="L27" s="61">
        <f t="shared" si="8"/>
        <v>114.98561709138741</v>
      </c>
      <c r="M27" s="60">
        <f t="shared" si="9"/>
        <v>125.43885500878626</v>
      </c>
      <c r="N27" s="60">
        <f t="shared" si="10"/>
        <v>135.89209292618511</v>
      </c>
      <c r="O27" s="59">
        <f t="shared" si="11"/>
        <v>146.34533084358398</v>
      </c>
      <c r="P27" s="58">
        <f t="shared" si="12"/>
        <v>156.79856876098282</v>
      </c>
      <c r="Q27" s="57">
        <f t="shared" si="13"/>
        <v>167.25180667838168</v>
      </c>
      <c r="R27" s="57">
        <f t="shared" si="14"/>
        <v>177.70504459578055</v>
      </c>
    </row>
    <row r="28" spans="2:18" ht="12.75">
      <c r="B28" s="64">
        <v>5</v>
      </c>
      <c r="C28" s="61">
        <f>(C22/C10)*G11</f>
        <v>24.876059854063094</v>
      </c>
      <c r="D28" s="61">
        <f t="shared" si="0"/>
        <v>37.31408978109464</v>
      </c>
      <c r="E28" s="61">
        <f t="shared" si="1"/>
        <v>49.75211970812619</v>
      </c>
      <c r="F28" s="61">
        <f t="shared" si="2"/>
        <v>62.19014963515774</v>
      </c>
      <c r="G28" s="61">
        <f t="shared" si="3"/>
        <v>74.62817956218927</v>
      </c>
      <c r="H28" s="61">
        <f t="shared" si="4"/>
        <v>87.06620948922082</v>
      </c>
      <c r="I28" s="61">
        <f t="shared" si="5"/>
        <v>99.50423941625237</v>
      </c>
      <c r="J28" s="61">
        <f t="shared" si="6"/>
        <v>111.94226934328393</v>
      </c>
      <c r="K28" s="61">
        <f t="shared" si="7"/>
        <v>124.38029927031548</v>
      </c>
      <c r="L28" s="61">
        <f t="shared" si="8"/>
        <v>136.81832919734703</v>
      </c>
      <c r="M28" s="60">
        <f t="shared" si="9"/>
        <v>149.25635912437855</v>
      </c>
      <c r="N28" s="60">
        <f t="shared" si="10"/>
        <v>161.6943890514101</v>
      </c>
      <c r="O28" s="59">
        <f t="shared" si="11"/>
        <v>174.13241897844165</v>
      </c>
      <c r="P28" s="58">
        <f t="shared" si="12"/>
        <v>186.5704489054732</v>
      </c>
      <c r="Q28" s="57">
        <f t="shared" si="13"/>
        <v>199.00847883250475</v>
      </c>
      <c r="R28" s="57">
        <f t="shared" si="14"/>
        <v>211.4465087595363</v>
      </c>
    </row>
    <row r="29" spans="2:18" ht="13.5" thickBot="1">
      <c r="B29" s="63" t="s">
        <v>75</v>
      </c>
      <c r="C29" s="61">
        <f>(C22/C11)*G11</f>
        <v>5.61488208134567</v>
      </c>
      <c r="D29" s="61">
        <f t="shared" si="0"/>
        <v>8.422323122018506</v>
      </c>
      <c r="E29" s="62">
        <f t="shared" si="1"/>
        <v>11.22976416269134</v>
      </c>
      <c r="F29" s="61">
        <f t="shared" si="2"/>
        <v>14.037205203364175</v>
      </c>
      <c r="G29" s="61">
        <f t="shared" si="3"/>
        <v>16.844646244037012</v>
      </c>
      <c r="H29" s="61">
        <f t="shared" si="4"/>
        <v>19.652087284709847</v>
      </c>
      <c r="I29" s="61">
        <f t="shared" si="5"/>
        <v>22.45952832538268</v>
      </c>
      <c r="J29" s="61">
        <f t="shared" si="6"/>
        <v>25.266969366055516</v>
      </c>
      <c r="K29" s="61">
        <f t="shared" si="7"/>
        <v>28.07441040672835</v>
      </c>
      <c r="L29" s="61">
        <f t="shared" si="8"/>
        <v>30.881851447401186</v>
      </c>
      <c r="M29" s="60">
        <f t="shared" si="9"/>
        <v>33.689292488074024</v>
      </c>
      <c r="N29" s="60">
        <f t="shared" si="10"/>
        <v>36.49673352874686</v>
      </c>
      <c r="O29" s="59">
        <f t="shared" si="11"/>
        <v>39.30417456941969</v>
      </c>
      <c r="P29" s="58">
        <f t="shared" si="12"/>
        <v>42.11161561009253</v>
      </c>
      <c r="Q29" s="57">
        <f t="shared" si="13"/>
        <v>44.91905665076536</v>
      </c>
      <c r="R29" s="57">
        <f t="shared" si="14"/>
        <v>47.7264976914382</v>
      </c>
    </row>
    <row r="30" spans="2:18" ht="13.5" thickBot="1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56"/>
      <c r="Q30" s="81"/>
      <c r="R30" s="81"/>
    </row>
    <row r="31" spans="2:18" ht="12.75">
      <c r="B31" s="8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8"/>
      <c r="Q31" s="78"/>
      <c r="R31" s="78"/>
    </row>
    <row r="32" spans="2:18" ht="13.5" thickBot="1">
      <c r="B32" s="80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8"/>
      <c r="Q32" s="78"/>
      <c r="R32" s="78"/>
    </row>
    <row r="33" spans="2:18" ht="17.25" thickBot="1" thickTop="1">
      <c r="B33" s="145" t="s">
        <v>78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77"/>
      <c r="Q33" s="76"/>
      <c r="R33" s="76"/>
    </row>
    <row r="34" spans="2:18" ht="13.5" thickTop="1">
      <c r="B34" s="75" t="s">
        <v>77</v>
      </c>
      <c r="C34" s="74">
        <v>1000</v>
      </c>
      <c r="D34" s="74">
        <v>1500</v>
      </c>
      <c r="E34" s="74">
        <v>2000</v>
      </c>
      <c r="F34" s="74">
        <v>2500</v>
      </c>
      <c r="G34" s="74">
        <v>3000</v>
      </c>
      <c r="H34" s="74">
        <v>3500</v>
      </c>
      <c r="I34" s="74">
        <v>4000</v>
      </c>
      <c r="J34" s="74">
        <v>4500</v>
      </c>
      <c r="K34" s="74">
        <v>5000</v>
      </c>
      <c r="L34" s="74">
        <v>5500</v>
      </c>
      <c r="M34" s="73">
        <v>6000</v>
      </c>
      <c r="N34" s="73">
        <v>6500</v>
      </c>
      <c r="O34" s="72">
        <v>7000</v>
      </c>
      <c r="P34" s="71">
        <v>7500</v>
      </c>
      <c r="Q34" s="70">
        <v>8000</v>
      </c>
      <c r="R34" s="70">
        <v>8500</v>
      </c>
    </row>
    <row r="35" spans="2:18" ht="12.75">
      <c r="B35" s="69" t="s">
        <v>76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0"/>
      <c r="N35" s="68"/>
      <c r="O35" s="67"/>
      <c r="P35" s="66"/>
      <c r="Q35" s="65"/>
      <c r="R35" s="65"/>
    </row>
    <row r="36" spans="2:18" ht="12.75">
      <c r="B36" s="64">
        <v>1</v>
      </c>
      <c r="C36" s="61">
        <f aca="true" t="shared" si="15" ref="C36:C41">C24*1.6</f>
        <v>8.857278776207254</v>
      </c>
      <c r="D36" s="61">
        <f aca="true" t="shared" si="16" ref="D36:D41">C36*1.5</f>
        <v>13.285918164310882</v>
      </c>
      <c r="E36" s="61">
        <f aca="true" t="shared" si="17" ref="E36:E41">C36*2</f>
        <v>17.714557552414508</v>
      </c>
      <c r="F36" s="61">
        <f aca="true" t="shared" si="18" ref="F36:F41">C36*2.5</f>
        <v>22.143196940518134</v>
      </c>
      <c r="G36" s="61">
        <f aca="true" t="shared" si="19" ref="G36:G41">C36*3</f>
        <v>26.571836328621764</v>
      </c>
      <c r="H36" s="61">
        <f aca="true" t="shared" si="20" ref="H36:H41">C36*3.5</f>
        <v>31.00047571672539</v>
      </c>
      <c r="I36" s="61">
        <f aca="true" t="shared" si="21" ref="I36:I41">C36*4</f>
        <v>35.429115104829016</v>
      </c>
      <c r="J36" s="61">
        <f aca="true" t="shared" si="22" ref="J36:J41">C36*4.5</f>
        <v>39.85775449293264</v>
      </c>
      <c r="K36" s="61">
        <f aca="true" t="shared" si="23" ref="K36:K41">C36*5</f>
        <v>44.28639388103627</v>
      </c>
      <c r="L36" s="61">
        <f aca="true" t="shared" si="24" ref="L36:L41">C36*5.5</f>
        <v>48.715033269139894</v>
      </c>
      <c r="M36" s="60">
        <f aca="true" t="shared" si="25" ref="M36:M41">C36*6</f>
        <v>53.14367265724353</v>
      </c>
      <c r="N36" s="60">
        <f aca="true" t="shared" si="26" ref="N36:N41">C36*6.5</f>
        <v>57.572312045347154</v>
      </c>
      <c r="O36" s="59">
        <f aca="true" t="shared" si="27" ref="O36:O41">C36*7</f>
        <v>62.00095143345078</v>
      </c>
      <c r="P36" s="58">
        <f aca="true" t="shared" si="28" ref="P36:P41">C36*7.5</f>
        <v>66.4295908215544</v>
      </c>
      <c r="Q36" s="57">
        <f aca="true" t="shared" si="29" ref="Q36:Q41">C36*8</f>
        <v>70.85823020965803</v>
      </c>
      <c r="R36" s="57">
        <f aca="true" t="shared" si="30" ref="R36:R41">C36*8.5</f>
        <v>75.28686959776167</v>
      </c>
    </row>
    <row r="37" spans="2:18" ht="12.75">
      <c r="B37" s="64">
        <v>2</v>
      </c>
      <c r="C37" s="61">
        <f t="shared" si="15"/>
        <v>14.90205670878472</v>
      </c>
      <c r="D37" s="61">
        <f t="shared" si="16"/>
        <v>22.35308506317708</v>
      </c>
      <c r="E37" s="61">
        <f t="shared" si="17"/>
        <v>29.80411341756944</v>
      </c>
      <c r="F37" s="61">
        <f t="shared" si="18"/>
        <v>37.2551417719618</v>
      </c>
      <c r="G37" s="61">
        <f t="shared" si="19"/>
        <v>44.70617012635416</v>
      </c>
      <c r="H37" s="61">
        <f t="shared" si="20"/>
        <v>52.157198480746516</v>
      </c>
      <c r="I37" s="61">
        <f t="shared" si="21"/>
        <v>59.60822683513888</v>
      </c>
      <c r="J37" s="61">
        <f t="shared" si="22"/>
        <v>67.05925518953124</v>
      </c>
      <c r="K37" s="61">
        <f t="shared" si="23"/>
        <v>74.5102835439236</v>
      </c>
      <c r="L37" s="61">
        <f t="shared" si="24"/>
        <v>81.96131189831596</v>
      </c>
      <c r="M37" s="60">
        <f t="shared" si="25"/>
        <v>89.41234025270832</v>
      </c>
      <c r="N37" s="60">
        <f t="shared" si="26"/>
        <v>96.86336860710068</v>
      </c>
      <c r="O37" s="59">
        <f t="shared" si="27"/>
        <v>104.31439696149303</v>
      </c>
      <c r="P37" s="58">
        <f t="shared" si="28"/>
        <v>111.7654253158854</v>
      </c>
      <c r="Q37" s="57">
        <f t="shared" si="29"/>
        <v>119.21645367027776</v>
      </c>
      <c r="R37" s="57">
        <f t="shared" si="30"/>
        <v>126.66748202467012</v>
      </c>
    </row>
    <row r="38" spans="2:18" ht="12.75">
      <c r="B38" s="64">
        <v>3</v>
      </c>
      <c r="C38" s="61">
        <f t="shared" si="15"/>
        <v>24.187184350412117</v>
      </c>
      <c r="D38" s="61">
        <f t="shared" si="16"/>
        <v>36.28077652561818</v>
      </c>
      <c r="E38" s="61">
        <f t="shared" si="17"/>
        <v>48.374368700824235</v>
      </c>
      <c r="F38" s="61">
        <f t="shared" si="18"/>
        <v>60.46796087603029</v>
      </c>
      <c r="G38" s="61">
        <f t="shared" si="19"/>
        <v>72.56155305123636</v>
      </c>
      <c r="H38" s="61">
        <f t="shared" si="20"/>
        <v>84.65514522644241</v>
      </c>
      <c r="I38" s="61">
        <f t="shared" si="21"/>
        <v>96.74873740164847</v>
      </c>
      <c r="J38" s="61">
        <f t="shared" si="22"/>
        <v>108.84232957685452</v>
      </c>
      <c r="K38" s="61">
        <f t="shared" si="23"/>
        <v>120.93592175206058</v>
      </c>
      <c r="L38" s="61">
        <f t="shared" si="24"/>
        <v>133.02951392726663</v>
      </c>
      <c r="M38" s="60">
        <f t="shared" si="25"/>
        <v>145.12310610247272</v>
      </c>
      <c r="N38" s="60">
        <f t="shared" si="26"/>
        <v>157.21669827767877</v>
      </c>
      <c r="O38" s="59">
        <f t="shared" si="27"/>
        <v>169.31029045288483</v>
      </c>
      <c r="P38" s="58">
        <f t="shared" si="28"/>
        <v>181.40388262809088</v>
      </c>
      <c r="Q38" s="57">
        <f t="shared" si="29"/>
        <v>193.49747480329694</v>
      </c>
      <c r="R38" s="57">
        <f t="shared" si="30"/>
        <v>205.591066978503</v>
      </c>
    </row>
    <row r="39" spans="2:18" ht="12.75">
      <c r="B39" s="64">
        <v>4</v>
      </c>
      <c r="C39" s="61">
        <f t="shared" si="15"/>
        <v>33.45036133567634</v>
      </c>
      <c r="D39" s="61">
        <f t="shared" si="16"/>
        <v>50.17554200351451</v>
      </c>
      <c r="E39" s="61">
        <f t="shared" si="17"/>
        <v>66.90072267135268</v>
      </c>
      <c r="F39" s="61">
        <f t="shared" si="18"/>
        <v>83.62590333919086</v>
      </c>
      <c r="G39" s="61">
        <f t="shared" si="19"/>
        <v>100.35108400702902</v>
      </c>
      <c r="H39" s="61">
        <f t="shared" si="20"/>
        <v>117.07626467486719</v>
      </c>
      <c r="I39" s="61">
        <f t="shared" si="21"/>
        <v>133.80144534270536</v>
      </c>
      <c r="J39" s="61">
        <f t="shared" si="22"/>
        <v>150.52662601054354</v>
      </c>
      <c r="K39" s="61">
        <f t="shared" si="23"/>
        <v>167.2518066783817</v>
      </c>
      <c r="L39" s="61">
        <f t="shared" si="24"/>
        <v>183.9769873462199</v>
      </c>
      <c r="M39" s="60">
        <f t="shared" si="25"/>
        <v>200.70216801405803</v>
      </c>
      <c r="N39" s="60">
        <f t="shared" si="26"/>
        <v>217.4273486818962</v>
      </c>
      <c r="O39" s="59">
        <f t="shared" si="27"/>
        <v>234.15252934973438</v>
      </c>
      <c r="P39" s="58">
        <f t="shared" si="28"/>
        <v>250.87771001757255</v>
      </c>
      <c r="Q39" s="57">
        <f t="shared" si="29"/>
        <v>267.6028906854107</v>
      </c>
      <c r="R39" s="57">
        <f t="shared" si="30"/>
        <v>284.3280713532489</v>
      </c>
    </row>
    <row r="40" spans="2:18" ht="12.75">
      <c r="B40" s="64">
        <v>5</v>
      </c>
      <c r="C40" s="61">
        <f t="shared" si="15"/>
        <v>39.801695766500956</v>
      </c>
      <c r="D40" s="61">
        <f t="shared" si="16"/>
        <v>59.70254364975143</v>
      </c>
      <c r="E40" s="61">
        <f t="shared" si="17"/>
        <v>79.60339153300191</v>
      </c>
      <c r="F40" s="61">
        <f t="shared" si="18"/>
        <v>99.50423941625239</v>
      </c>
      <c r="G40" s="61">
        <f t="shared" si="19"/>
        <v>119.40508729950287</v>
      </c>
      <c r="H40" s="61">
        <f t="shared" si="20"/>
        <v>139.30593518275333</v>
      </c>
      <c r="I40" s="61">
        <f t="shared" si="21"/>
        <v>159.20678306600382</v>
      </c>
      <c r="J40" s="61">
        <f t="shared" si="22"/>
        <v>179.10763094925431</v>
      </c>
      <c r="K40" s="61">
        <f t="shared" si="23"/>
        <v>199.00847883250478</v>
      </c>
      <c r="L40" s="61">
        <f t="shared" si="24"/>
        <v>218.90932671575524</v>
      </c>
      <c r="M40" s="60">
        <f t="shared" si="25"/>
        <v>238.81017459900573</v>
      </c>
      <c r="N40" s="60">
        <f t="shared" si="26"/>
        <v>258.7110224822562</v>
      </c>
      <c r="O40" s="59">
        <f t="shared" si="27"/>
        <v>278.61187036550666</v>
      </c>
      <c r="P40" s="58">
        <f t="shared" si="28"/>
        <v>298.51271824875715</v>
      </c>
      <c r="Q40" s="57">
        <f t="shared" si="29"/>
        <v>318.41356613200765</v>
      </c>
      <c r="R40" s="57">
        <f t="shared" si="30"/>
        <v>338.31441401525814</v>
      </c>
    </row>
    <row r="41" spans="2:18" ht="13.5" thickBot="1">
      <c r="B41" s="63" t="s">
        <v>75</v>
      </c>
      <c r="C41" s="61">
        <f t="shared" si="15"/>
        <v>8.983811330153072</v>
      </c>
      <c r="D41" s="61">
        <f t="shared" si="16"/>
        <v>13.475716995229607</v>
      </c>
      <c r="E41" s="62">
        <f t="shared" si="17"/>
        <v>17.967622660306144</v>
      </c>
      <c r="F41" s="61">
        <f t="shared" si="18"/>
        <v>22.45952832538268</v>
      </c>
      <c r="G41" s="61">
        <f t="shared" si="19"/>
        <v>26.951433990459215</v>
      </c>
      <c r="H41" s="61">
        <f t="shared" si="20"/>
        <v>31.443339655535752</v>
      </c>
      <c r="I41" s="61">
        <f t="shared" si="21"/>
        <v>35.93524532061229</v>
      </c>
      <c r="J41" s="61">
        <f t="shared" si="22"/>
        <v>40.427150985688826</v>
      </c>
      <c r="K41" s="61">
        <f t="shared" si="23"/>
        <v>44.91905665076536</v>
      </c>
      <c r="L41" s="61">
        <f t="shared" si="24"/>
        <v>49.4109623158419</v>
      </c>
      <c r="M41" s="60">
        <f t="shared" si="25"/>
        <v>53.90286798091843</v>
      </c>
      <c r="N41" s="60">
        <f t="shared" si="26"/>
        <v>58.39477364599497</v>
      </c>
      <c r="O41" s="59">
        <f t="shared" si="27"/>
        <v>62.886679311071504</v>
      </c>
      <c r="P41" s="58">
        <f t="shared" si="28"/>
        <v>67.37858497614805</v>
      </c>
      <c r="Q41" s="57">
        <f t="shared" si="29"/>
        <v>71.87049064122458</v>
      </c>
      <c r="R41" s="57">
        <f t="shared" si="30"/>
        <v>76.36239630630111</v>
      </c>
    </row>
    <row r="42" spans="2:18" ht="13.5" thickBot="1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56"/>
      <c r="Q42" s="55"/>
      <c r="R42" s="55"/>
    </row>
    <row r="45" spans="2:10" ht="14.25" customHeight="1">
      <c r="B45" s="54">
        <v>1000</v>
      </c>
      <c r="C45" s="54">
        <v>2000</v>
      </c>
      <c r="D45" s="54">
        <v>3000</v>
      </c>
      <c r="E45" s="54">
        <v>4000</v>
      </c>
      <c r="F45" s="54">
        <v>5000</v>
      </c>
      <c r="G45" s="54">
        <v>6000</v>
      </c>
      <c r="H45" s="54">
        <v>7000</v>
      </c>
      <c r="I45" s="53">
        <v>8000</v>
      </c>
      <c r="J45" s="53">
        <v>9000</v>
      </c>
    </row>
    <row r="46" spans="2:10" ht="12.75">
      <c r="B46" s="52">
        <f aca="true" t="shared" si="31" ref="B46:B51">C24</f>
        <v>5.5357992351295335</v>
      </c>
      <c r="C46" s="52">
        <f aca="true" t="shared" si="32" ref="C46:C52">B46*2</f>
        <v>11.071598470259067</v>
      </c>
      <c r="D46" s="52">
        <f aca="true" t="shared" si="33" ref="D46:D52">B46*3</f>
        <v>16.6073977053886</v>
      </c>
      <c r="E46" s="52">
        <f aca="true" t="shared" si="34" ref="E46:E52">B46*4</f>
        <v>22.143196940518134</v>
      </c>
      <c r="F46" s="52">
        <f aca="true" t="shared" si="35" ref="F46:F52">B46*5</f>
        <v>27.67899617564767</v>
      </c>
      <c r="G46" s="52">
        <f aca="true" t="shared" si="36" ref="G46:G52">B46*6</f>
        <v>33.2147954107772</v>
      </c>
      <c r="H46" s="52">
        <f aca="true" t="shared" si="37" ref="H46:H52">B46*7</f>
        <v>38.75059464590674</v>
      </c>
      <c r="I46" s="52">
        <f aca="true" t="shared" si="38" ref="I46:I51">B46*8</f>
        <v>44.28639388103627</v>
      </c>
      <c r="J46" s="52">
        <f aca="true" t="shared" si="39" ref="J46:J51">B46*9</f>
        <v>49.8221931161658</v>
      </c>
    </row>
    <row r="47" spans="2:10" ht="12.75">
      <c r="B47" s="52">
        <f t="shared" si="31"/>
        <v>9.313785442990449</v>
      </c>
      <c r="C47" s="52">
        <f t="shared" si="32"/>
        <v>18.627570885980898</v>
      </c>
      <c r="D47" s="52">
        <f t="shared" si="33"/>
        <v>27.941356328971345</v>
      </c>
      <c r="E47" s="52">
        <f t="shared" si="34"/>
        <v>37.255141771961796</v>
      </c>
      <c r="F47" s="52">
        <f t="shared" si="35"/>
        <v>46.56892721495225</v>
      </c>
      <c r="G47" s="52">
        <f t="shared" si="36"/>
        <v>55.88271265794269</v>
      </c>
      <c r="H47" s="52">
        <f t="shared" si="37"/>
        <v>65.19649810093314</v>
      </c>
      <c r="I47" s="52">
        <f t="shared" si="38"/>
        <v>74.51028354392359</v>
      </c>
      <c r="J47" s="52">
        <f t="shared" si="39"/>
        <v>83.82406898691404</v>
      </c>
    </row>
    <row r="48" spans="2:10" ht="12.75">
      <c r="B48" s="52">
        <f t="shared" si="31"/>
        <v>15.116990219007572</v>
      </c>
      <c r="C48" s="52">
        <f t="shared" si="32"/>
        <v>30.233980438015145</v>
      </c>
      <c r="D48" s="52">
        <f t="shared" si="33"/>
        <v>45.350970657022714</v>
      </c>
      <c r="E48" s="52">
        <f t="shared" si="34"/>
        <v>60.46796087603029</v>
      </c>
      <c r="F48" s="52">
        <f t="shared" si="35"/>
        <v>75.58495109503787</v>
      </c>
      <c r="G48" s="52">
        <f t="shared" si="36"/>
        <v>90.70194131404543</v>
      </c>
      <c r="H48" s="52">
        <f t="shared" si="37"/>
        <v>105.818931533053</v>
      </c>
      <c r="I48" s="52">
        <f t="shared" si="38"/>
        <v>120.93592175206058</v>
      </c>
      <c r="J48" s="52">
        <f t="shared" si="39"/>
        <v>136.05291197106814</v>
      </c>
    </row>
    <row r="49" spans="2:10" ht="12.75">
      <c r="B49" s="52">
        <f t="shared" si="31"/>
        <v>20.90647583479771</v>
      </c>
      <c r="C49" s="52">
        <f t="shared" si="32"/>
        <v>41.81295166959542</v>
      </c>
      <c r="D49" s="52">
        <f t="shared" si="33"/>
        <v>62.71942750439313</v>
      </c>
      <c r="E49" s="52">
        <f t="shared" si="34"/>
        <v>83.62590333919084</v>
      </c>
      <c r="F49" s="52">
        <f t="shared" si="35"/>
        <v>104.53237917398855</v>
      </c>
      <c r="G49" s="52">
        <f t="shared" si="36"/>
        <v>125.43885500878626</v>
      </c>
      <c r="H49" s="52">
        <f t="shared" si="37"/>
        <v>146.34533084358398</v>
      </c>
      <c r="I49" s="52">
        <f t="shared" si="38"/>
        <v>167.25180667838168</v>
      </c>
      <c r="J49" s="52">
        <f t="shared" si="39"/>
        <v>188.1582825131794</v>
      </c>
    </row>
    <row r="50" spans="2:10" ht="12.75">
      <c r="B50" s="52">
        <f t="shared" si="31"/>
        <v>24.876059854063094</v>
      </c>
      <c r="C50" s="52">
        <f t="shared" si="32"/>
        <v>49.75211970812619</v>
      </c>
      <c r="D50" s="52">
        <f t="shared" si="33"/>
        <v>74.62817956218927</v>
      </c>
      <c r="E50" s="52">
        <f t="shared" si="34"/>
        <v>99.50423941625237</v>
      </c>
      <c r="F50" s="52">
        <f t="shared" si="35"/>
        <v>124.38029927031548</v>
      </c>
      <c r="G50" s="52">
        <f t="shared" si="36"/>
        <v>149.25635912437855</v>
      </c>
      <c r="H50" s="52">
        <f t="shared" si="37"/>
        <v>174.13241897844165</v>
      </c>
      <c r="I50" s="52">
        <f t="shared" si="38"/>
        <v>199.00847883250475</v>
      </c>
      <c r="J50" s="52">
        <f t="shared" si="39"/>
        <v>223.88453868656785</v>
      </c>
    </row>
    <row r="51" spans="2:10" ht="12.75">
      <c r="B51" s="52">
        <f t="shared" si="31"/>
        <v>5.61488208134567</v>
      </c>
      <c r="C51" s="52">
        <f t="shared" si="32"/>
        <v>11.22976416269134</v>
      </c>
      <c r="D51" s="52">
        <f t="shared" si="33"/>
        <v>16.844646244037012</v>
      </c>
      <c r="E51" s="52">
        <f t="shared" si="34"/>
        <v>22.45952832538268</v>
      </c>
      <c r="F51" s="52">
        <f t="shared" si="35"/>
        <v>28.07441040672835</v>
      </c>
      <c r="G51" s="52">
        <f t="shared" si="36"/>
        <v>33.689292488074024</v>
      </c>
      <c r="H51" s="52">
        <f t="shared" si="37"/>
        <v>39.30417456941969</v>
      </c>
      <c r="I51" s="52">
        <f t="shared" si="38"/>
        <v>44.91905665076536</v>
      </c>
      <c r="J51" s="52">
        <f t="shared" si="39"/>
        <v>50.53393873211103</v>
      </c>
    </row>
    <row r="52" spans="2:10" ht="12.75">
      <c r="B52" s="52"/>
      <c r="C52" s="52">
        <f t="shared" si="32"/>
        <v>0</v>
      </c>
      <c r="D52" s="52">
        <f t="shared" si="33"/>
        <v>0</v>
      </c>
      <c r="E52" s="52">
        <f t="shared" si="34"/>
        <v>0</v>
      </c>
      <c r="F52" s="52">
        <f t="shared" si="35"/>
        <v>0</v>
      </c>
      <c r="G52" s="52">
        <f t="shared" si="36"/>
        <v>0</v>
      </c>
      <c r="H52" s="52">
        <f t="shared" si="37"/>
        <v>0</v>
      </c>
      <c r="I52" s="52">
        <f>B52*7.5</f>
        <v>0</v>
      </c>
      <c r="J52" s="52">
        <f>B52*8</f>
        <v>0</v>
      </c>
    </row>
  </sheetData>
  <sheetProtection/>
  <mergeCells count="8">
    <mergeCell ref="Q5:S5"/>
    <mergeCell ref="B42:O42"/>
    <mergeCell ref="B21:O21"/>
    <mergeCell ref="B30:O30"/>
    <mergeCell ref="B33:O33"/>
    <mergeCell ref="E5:G5"/>
    <mergeCell ref="I5:K5"/>
    <mergeCell ref="M5:O5"/>
  </mergeCells>
  <printOptions gridLines="1"/>
  <pageMargins left="0.75" right="0.75" top="1" bottom="1" header="0.5" footer="0.5"/>
  <pageSetup horizontalDpi="600" verticalDpi="600" orientation="landscape" scale="85" r:id="rId2"/>
  <headerFooter alignWithMargins="0">
    <oddHeader>&amp;C&amp;A</oddHeader>
    <oddFooter>&amp;CPage &amp;P</oddFooter>
  </headerFooter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59"/>
  <sheetViews>
    <sheetView zoomScalePageLayoutView="0" workbookViewId="0" topLeftCell="A1">
      <pane ySplit="2820" topLeftCell="A46" activePane="bottomLeft" state="split"/>
      <selection pane="topLeft" activeCell="O63" sqref="O63"/>
      <selection pane="bottomLeft" activeCell="O20" sqref="O20"/>
    </sheetView>
  </sheetViews>
  <sheetFormatPr defaultColWidth="9.140625" defaultRowHeight="12.75"/>
  <cols>
    <col min="4" max="4" width="2.57421875" style="0" customWidth="1"/>
    <col min="6" max="6" width="2.421875" style="0" customWidth="1"/>
    <col min="8" max="8" width="2.421875" style="0" customWidth="1"/>
    <col min="10" max="10" width="2.7109375" style="0" customWidth="1"/>
  </cols>
  <sheetData>
    <row r="4" ht="12.75">
      <c r="A4" t="s">
        <v>139</v>
      </c>
    </row>
    <row r="5" spans="1:3" ht="12.75">
      <c r="A5" s="100" t="s">
        <v>138</v>
      </c>
      <c r="C5" t="s">
        <v>137</v>
      </c>
    </row>
    <row r="6" spans="1:3" ht="12.75">
      <c r="A6" s="100" t="s">
        <v>136</v>
      </c>
      <c r="C6" t="s">
        <v>135</v>
      </c>
    </row>
    <row r="7" spans="1:3" ht="12.75">
      <c r="A7" s="100" t="s">
        <v>134</v>
      </c>
      <c r="C7" t="s">
        <v>133</v>
      </c>
    </row>
    <row r="8" spans="1:3" ht="12.75">
      <c r="A8" s="100" t="s">
        <v>132</v>
      </c>
      <c r="C8" t="s">
        <v>131</v>
      </c>
    </row>
    <row r="9" spans="1:3" ht="12.75">
      <c r="A9" s="100" t="s">
        <v>130</v>
      </c>
      <c r="C9" t="s">
        <v>129</v>
      </c>
    </row>
    <row r="13" spans="1:3" ht="15.75">
      <c r="A13" s="96" t="s">
        <v>128</v>
      </c>
      <c r="C13" s="95" t="s">
        <v>127</v>
      </c>
    </row>
    <row r="14" spans="1:3" ht="12.75">
      <c r="A14" t="s">
        <v>116</v>
      </c>
      <c r="C14" s="99">
        <v>4.11</v>
      </c>
    </row>
    <row r="15" spans="1:3" ht="12.75">
      <c r="A15" t="s">
        <v>115</v>
      </c>
      <c r="C15" s="99">
        <v>3.55</v>
      </c>
    </row>
    <row r="16" spans="1:3" ht="12.75">
      <c r="A16" t="s">
        <v>114</v>
      </c>
      <c r="C16" s="99">
        <v>2.11</v>
      </c>
    </row>
    <row r="17" spans="1:3" ht="12.75">
      <c r="A17" t="s">
        <v>113</v>
      </c>
      <c r="C17" s="99">
        <v>1.3</v>
      </c>
    </row>
    <row r="18" spans="1:3" ht="12.75">
      <c r="A18" t="s">
        <v>112</v>
      </c>
      <c r="C18" s="99">
        <v>0.94</v>
      </c>
    </row>
    <row r="19" spans="1:3" ht="12.75">
      <c r="A19" t="s">
        <v>111</v>
      </c>
      <c r="C19" s="99">
        <v>0.79</v>
      </c>
    </row>
    <row r="20" spans="1:3" ht="12.75">
      <c r="A20" t="s">
        <v>110</v>
      </c>
      <c r="C20" s="99">
        <v>3.5</v>
      </c>
    </row>
    <row r="21" ht="12.75">
      <c r="C21" s="98"/>
    </row>
    <row r="23" spans="1:5" ht="15.75">
      <c r="A23" s="96" t="s">
        <v>126</v>
      </c>
      <c r="C23" s="95" t="s">
        <v>125</v>
      </c>
      <c r="E23" s="95" t="s">
        <v>124</v>
      </c>
    </row>
    <row r="24" spans="1:5" ht="12.75">
      <c r="A24" t="s">
        <v>116</v>
      </c>
      <c r="C24">
        <v>4.11</v>
      </c>
      <c r="E24">
        <v>4.11</v>
      </c>
    </row>
    <row r="25" spans="1:5" ht="12.75">
      <c r="A25" t="s">
        <v>115</v>
      </c>
      <c r="C25">
        <v>3.46</v>
      </c>
      <c r="E25">
        <v>3.46</v>
      </c>
    </row>
    <row r="26" spans="1:5" ht="12.75">
      <c r="A26" t="s">
        <v>114</v>
      </c>
      <c r="C26">
        <v>1.79</v>
      </c>
      <c r="E26">
        <v>1.79</v>
      </c>
    </row>
    <row r="27" spans="1:5" ht="12.75">
      <c r="A27" t="s">
        <v>113</v>
      </c>
      <c r="C27">
        <v>1.07</v>
      </c>
      <c r="E27">
        <v>1.07</v>
      </c>
    </row>
    <row r="28" spans="1:5" ht="12.75">
      <c r="A28" t="s">
        <v>112</v>
      </c>
      <c r="C28" s="94">
        <v>0.7</v>
      </c>
      <c r="E28" s="94">
        <v>0.7</v>
      </c>
    </row>
    <row r="29" spans="1:5" ht="12.75">
      <c r="A29" t="s">
        <v>110</v>
      </c>
      <c r="C29">
        <v>3.17</v>
      </c>
      <c r="E29">
        <v>3.17</v>
      </c>
    </row>
    <row r="31" ht="12.75">
      <c r="A31" s="97"/>
    </row>
    <row r="32" spans="1:7" ht="15.75">
      <c r="A32" s="96" t="s">
        <v>123</v>
      </c>
      <c r="C32" s="95" t="s">
        <v>122</v>
      </c>
      <c r="E32" s="95" t="s">
        <v>121</v>
      </c>
      <c r="G32" s="95" t="s">
        <v>23</v>
      </c>
    </row>
    <row r="33" spans="1:7" ht="12.75">
      <c r="A33" t="s">
        <v>116</v>
      </c>
      <c r="C33" s="94">
        <v>4.11</v>
      </c>
      <c r="D33" s="94"/>
      <c r="E33" s="94">
        <v>4.11</v>
      </c>
      <c r="F33" s="94"/>
      <c r="G33" s="94">
        <v>4.11</v>
      </c>
    </row>
    <row r="34" spans="1:7" ht="12.75">
      <c r="A34" t="s">
        <v>115</v>
      </c>
      <c r="C34" s="94">
        <v>3.46</v>
      </c>
      <c r="D34" s="94"/>
      <c r="E34" s="94">
        <v>3.46</v>
      </c>
      <c r="F34" s="94"/>
      <c r="G34" s="94">
        <v>3.46</v>
      </c>
    </row>
    <row r="35" spans="1:7" ht="12.75">
      <c r="A35" t="s">
        <v>114</v>
      </c>
      <c r="C35" s="94">
        <v>1.79</v>
      </c>
      <c r="D35" s="94"/>
      <c r="E35" s="94">
        <v>1.79</v>
      </c>
      <c r="F35" s="94"/>
      <c r="G35" s="94">
        <v>1.79</v>
      </c>
    </row>
    <row r="36" spans="1:7" ht="12.75">
      <c r="A36" t="s">
        <v>113</v>
      </c>
      <c r="C36" s="94">
        <v>1.07</v>
      </c>
      <c r="D36" s="94"/>
      <c r="E36" s="94">
        <v>1.13</v>
      </c>
      <c r="F36" s="94"/>
      <c r="G36" s="94">
        <v>1.13</v>
      </c>
    </row>
    <row r="37" spans="1:7" ht="12.75">
      <c r="A37" t="s">
        <v>112</v>
      </c>
      <c r="C37" s="94">
        <v>0.78</v>
      </c>
      <c r="D37" s="94"/>
      <c r="E37" s="94">
        <v>0.83</v>
      </c>
      <c r="F37" s="94"/>
      <c r="G37" s="94">
        <v>0.83</v>
      </c>
    </row>
    <row r="38" spans="1:7" ht="12.75">
      <c r="A38" t="s">
        <v>111</v>
      </c>
      <c r="C38" s="94">
        <v>0.6</v>
      </c>
      <c r="D38" s="94"/>
      <c r="E38" s="94">
        <v>0.68</v>
      </c>
      <c r="F38" s="94"/>
      <c r="G38" s="94">
        <v>0.68</v>
      </c>
    </row>
    <row r="39" spans="1:7" ht="12.75">
      <c r="A39" t="s">
        <v>110</v>
      </c>
      <c r="C39" s="94">
        <v>3.17</v>
      </c>
      <c r="D39" s="94"/>
      <c r="E39" s="94">
        <v>3.17</v>
      </c>
      <c r="F39" s="94"/>
      <c r="G39" s="94">
        <v>3.17</v>
      </c>
    </row>
    <row r="42" spans="1:3" ht="15.75">
      <c r="A42" s="96" t="s">
        <v>120</v>
      </c>
      <c r="C42" s="95" t="s">
        <v>119</v>
      </c>
    </row>
    <row r="43" spans="1:3" ht="12.75">
      <c r="A43" t="s">
        <v>116</v>
      </c>
      <c r="C43">
        <v>5.22</v>
      </c>
    </row>
    <row r="44" spans="1:3" ht="12.75">
      <c r="A44" t="s">
        <v>115</v>
      </c>
      <c r="C44">
        <v>2.84</v>
      </c>
    </row>
    <row r="45" spans="1:3" ht="12.75">
      <c r="A45" t="s">
        <v>114</v>
      </c>
      <c r="C45">
        <v>1.52</v>
      </c>
    </row>
    <row r="46" spans="1:3" ht="12.75">
      <c r="A46" t="s">
        <v>113</v>
      </c>
      <c r="C46" s="94">
        <v>0.9</v>
      </c>
    </row>
    <row r="47" spans="1:3" ht="12.75">
      <c r="A47" t="s">
        <v>112</v>
      </c>
      <c r="C47">
        <v>0.64</v>
      </c>
    </row>
    <row r="48" spans="1:3" ht="12.75">
      <c r="A48" t="s">
        <v>111</v>
      </c>
      <c r="C48">
        <v>0.48</v>
      </c>
    </row>
    <row r="49" spans="1:3" ht="12.75">
      <c r="A49" t="s">
        <v>110</v>
      </c>
      <c r="C49">
        <v>3.16</v>
      </c>
    </row>
    <row r="52" spans="1:11" ht="15.75">
      <c r="A52" s="96" t="s">
        <v>118</v>
      </c>
      <c r="C52" s="95" t="s">
        <v>19</v>
      </c>
      <c r="E52" s="95" t="s">
        <v>20</v>
      </c>
      <c r="G52" s="95" t="s">
        <v>117</v>
      </c>
      <c r="I52" s="95" t="s">
        <v>21</v>
      </c>
      <c r="J52" s="95"/>
      <c r="K52" s="95" t="s">
        <v>24</v>
      </c>
    </row>
    <row r="53" spans="1:11" ht="12.75">
      <c r="A53" t="s">
        <v>116</v>
      </c>
      <c r="C53">
        <v>3.89</v>
      </c>
      <c r="E53">
        <v>3.89</v>
      </c>
      <c r="G53">
        <v>3.89</v>
      </c>
      <c r="I53">
        <v>4.11</v>
      </c>
      <c r="K53">
        <v>3.89</v>
      </c>
    </row>
    <row r="54" spans="1:11" ht="12.75">
      <c r="A54" t="s">
        <v>115</v>
      </c>
      <c r="C54" s="94">
        <v>3.6</v>
      </c>
      <c r="D54" s="94"/>
      <c r="E54" s="94">
        <v>3.6</v>
      </c>
      <c r="F54" s="94"/>
      <c r="G54" s="94">
        <v>3.6</v>
      </c>
      <c r="H54" s="94"/>
      <c r="I54" s="94">
        <v>3.6</v>
      </c>
      <c r="J54" s="94"/>
      <c r="K54" s="94">
        <v>3.6</v>
      </c>
    </row>
    <row r="55" spans="1:11" ht="12.75">
      <c r="A55" t="s">
        <v>114</v>
      </c>
      <c r="C55" s="94">
        <v>2.13</v>
      </c>
      <c r="D55" s="94"/>
      <c r="E55" s="94">
        <v>2.13</v>
      </c>
      <c r="F55" s="94"/>
      <c r="G55" s="94">
        <v>2.13</v>
      </c>
      <c r="H55" s="94"/>
      <c r="I55" s="94">
        <v>2.13</v>
      </c>
      <c r="J55" s="94"/>
      <c r="K55" s="94">
        <v>1.88</v>
      </c>
    </row>
    <row r="56" spans="1:11" ht="12.75">
      <c r="A56" t="s">
        <v>113</v>
      </c>
      <c r="C56" s="94">
        <v>1.46</v>
      </c>
      <c r="D56" s="94"/>
      <c r="E56" s="94">
        <v>1.46</v>
      </c>
      <c r="F56" s="94"/>
      <c r="G56" s="94">
        <v>1.36</v>
      </c>
      <c r="H56" s="94"/>
      <c r="I56" s="94">
        <v>1.36</v>
      </c>
      <c r="J56" s="94"/>
      <c r="K56" s="94">
        <v>1.19</v>
      </c>
    </row>
    <row r="57" spans="1:11" ht="12.75">
      <c r="A57" t="s">
        <v>112</v>
      </c>
      <c r="C57" s="94">
        <v>1.07</v>
      </c>
      <c r="D57" s="94"/>
      <c r="E57" s="94">
        <v>1.07</v>
      </c>
      <c r="F57" s="94"/>
      <c r="G57" s="94">
        <v>0.97</v>
      </c>
      <c r="H57" s="94"/>
      <c r="I57" s="94">
        <v>0.97</v>
      </c>
      <c r="J57" s="94"/>
      <c r="K57" s="94">
        <v>0.84</v>
      </c>
    </row>
    <row r="58" spans="1:11" ht="12.75">
      <c r="A58" t="s">
        <v>111</v>
      </c>
      <c r="C58" s="94">
        <v>0.86</v>
      </c>
      <c r="D58" s="94"/>
      <c r="E58" s="94">
        <v>0.83</v>
      </c>
      <c r="F58" s="94"/>
      <c r="G58" s="94">
        <v>0.78</v>
      </c>
      <c r="H58" s="94"/>
      <c r="I58" s="94">
        <v>0.73</v>
      </c>
      <c r="J58" s="94"/>
      <c r="K58" s="94">
        <v>0.64</v>
      </c>
    </row>
    <row r="59" spans="1:11" ht="12.75">
      <c r="A59" t="s">
        <v>110</v>
      </c>
      <c r="C59" s="94">
        <v>3.5</v>
      </c>
      <c r="D59" s="94"/>
      <c r="E59" s="94">
        <v>3.5</v>
      </c>
      <c r="F59" s="94"/>
      <c r="G59" s="94">
        <v>3.5</v>
      </c>
      <c r="H59" s="94"/>
      <c r="I59" s="94">
        <v>3.5</v>
      </c>
      <c r="J59" s="94"/>
      <c r="K59" s="94">
        <v>3.5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50"/>
  <sheetViews>
    <sheetView zoomScalePageLayoutView="0" workbookViewId="0" topLeftCell="A67">
      <selection activeCell="G18" sqref="G18"/>
    </sheetView>
  </sheetViews>
  <sheetFormatPr defaultColWidth="10.00390625" defaultRowHeight="12.75"/>
  <cols>
    <col min="1" max="1" width="25.7109375" style="2" customWidth="1"/>
    <col min="2" max="2" width="14.421875" style="2" customWidth="1"/>
    <col min="3" max="3" width="17.28125" style="2" customWidth="1"/>
    <col min="4" max="4" width="15.140625" style="2" customWidth="1"/>
    <col min="5" max="5" width="12.7109375" style="2" customWidth="1"/>
    <col min="6" max="6" width="11.7109375" style="2" customWidth="1"/>
    <col min="7" max="8" width="10.00390625" style="2" customWidth="1"/>
    <col min="9" max="9" width="13.57421875" style="2" customWidth="1"/>
    <col min="10" max="16384" width="10.00390625" style="2" customWidth="1"/>
  </cols>
  <sheetData>
    <row r="1" spans="1:6" ht="15" customHeight="1">
      <c r="A1" s="3" t="s">
        <v>0</v>
      </c>
      <c r="B1" s="3"/>
      <c r="C1" s="5"/>
      <c r="D1" s="5"/>
      <c r="E1" s="5"/>
      <c r="F1" s="5"/>
    </row>
    <row r="2" spans="1:6" ht="15" customHeight="1">
      <c r="A2" s="3" t="s">
        <v>1</v>
      </c>
      <c r="B2" s="3"/>
      <c r="C2" s="5"/>
      <c r="D2" s="5"/>
      <c r="E2" s="5"/>
      <c r="F2" s="5"/>
    </row>
    <row r="3" spans="1:6" ht="12.75">
      <c r="A3" s="4" t="s">
        <v>2</v>
      </c>
      <c r="B3" s="6"/>
      <c r="C3" s="7">
        <v>6500</v>
      </c>
      <c r="D3" s="7"/>
      <c r="E3" s="7"/>
      <c r="F3" s="7"/>
    </row>
    <row r="4" spans="1:6" ht="12.75">
      <c r="A4" s="4" t="s">
        <v>3</v>
      </c>
      <c r="B4" s="6"/>
      <c r="C4" s="7">
        <v>25.8</v>
      </c>
      <c r="D4" s="7"/>
      <c r="E4" s="7"/>
      <c r="F4" s="7"/>
    </row>
    <row r="5" spans="1:6" ht="12.75">
      <c r="A5" s="4" t="s">
        <v>4</v>
      </c>
      <c r="B5" s="6"/>
      <c r="C5" s="7">
        <v>75</v>
      </c>
      <c r="D5" s="7"/>
      <c r="E5" s="7"/>
      <c r="F5" s="7"/>
    </row>
    <row r="6" ht="12.75"/>
    <row r="7" ht="12.75"/>
    <row r="8" spans="1:7" ht="12.75">
      <c r="A8" s="9" t="s">
        <v>5</v>
      </c>
      <c r="B8" s="50" t="s">
        <v>73</v>
      </c>
      <c r="C8" s="12"/>
      <c r="D8" s="8" t="s">
        <v>7</v>
      </c>
      <c r="E8" s="17" t="s">
        <v>25</v>
      </c>
      <c r="F8" s="17" t="s">
        <v>27</v>
      </c>
      <c r="G8" s="33"/>
    </row>
    <row r="9" spans="1:7" ht="12.75">
      <c r="A9" s="49" t="s">
        <v>72</v>
      </c>
      <c r="B9" s="8"/>
      <c r="C9" s="12"/>
      <c r="D9" s="8"/>
      <c r="E9" s="17"/>
      <c r="F9" s="17"/>
      <c r="G9" s="33"/>
    </row>
    <row r="10" spans="1:7" ht="12.75">
      <c r="A10" s="9"/>
      <c r="B10" s="1" t="s">
        <v>8</v>
      </c>
      <c r="C10" s="1" t="s">
        <v>9</v>
      </c>
      <c r="D10" s="1" t="s">
        <v>10</v>
      </c>
      <c r="E10" s="17">
        <f>$C$3</f>
        <v>6500</v>
      </c>
      <c r="F10" s="17" t="s">
        <v>28</v>
      </c>
      <c r="G10" s="33"/>
    </row>
    <row r="11" spans="1:7" ht="12.75">
      <c r="A11" s="9" t="s">
        <v>11</v>
      </c>
      <c r="B11" s="36">
        <v>3.778</v>
      </c>
      <c r="C11" s="13"/>
      <c r="D11" s="1" t="s">
        <v>8</v>
      </c>
      <c r="E11" s="17" t="s">
        <v>26</v>
      </c>
      <c r="F11" s="17"/>
      <c r="G11" s="33"/>
    </row>
    <row r="12" spans="1:7" ht="12.75">
      <c r="A12" s="9" t="s">
        <v>12</v>
      </c>
      <c r="B12" s="10">
        <v>3.182</v>
      </c>
      <c r="C12" s="13">
        <f aca="true" t="shared" si="0" ref="C12:C17">((($C$3/$B$23/B12))*(($C$4/2)*2*3.1457))*(0.000947)</f>
        <v>41.86671643243243</v>
      </c>
      <c r="D12" s="10">
        <f>(B11*B12)</f>
        <v>12.021596</v>
      </c>
      <c r="E12" s="16"/>
      <c r="F12" s="16"/>
      <c r="G12" s="33"/>
    </row>
    <row r="13" spans="1:7" ht="12.75">
      <c r="A13" s="9" t="s">
        <v>13</v>
      </c>
      <c r="B13" s="10">
        <v>2</v>
      </c>
      <c r="C13" s="13">
        <f t="shared" si="0"/>
        <v>66.60994584400001</v>
      </c>
      <c r="D13" s="10">
        <f>(B11*B13)</f>
        <v>7.556</v>
      </c>
      <c r="E13" s="16">
        <f>ROUND((C12*B11*B13*336)/($C$4),-1)</f>
        <v>4120</v>
      </c>
      <c r="F13" s="16">
        <f>ROUND(((($C$3-E13)/$C$3)*100),0)</f>
        <v>37</v>
      </c>
      <c r="G13" s="33"/>
    </row>
    <row r="14" spans="1:7" ht="12.75">
      <c r="A14" s="9" t="s">
        <v>14</v>
      </c>
      <c r="B14" s="10">
        <v>1.435</v>
      </c>
      <c r="C14" s="13">
        <f t="shared" si="0"/>
        <v>92.83616145505229</v>
      </c>
      <c r="D14" s="10">
        <f>(B11*B14)</f>
        <v>5.42143</v>
      </c>
      <c r="E14" s="16">
        <f>ROUND((C13*B11*B14*336)/($C$4),-1)</f>
        <v>4700</v>
      </c>
      <c r="F14" s="16">
        <f>ROUND(((($C$3-E14)/$C$3)*100),0)</f>
        <v>28</v>
      </c>
      <c r="G14" s="33"/>
    </row>
    <row r="15" spans="1:7" ht="12.75">
      <c r="A15" s="9" t="s">
        <v>15</v>
      </c>
      <c r="B15" s="10">
        <v>1.111</v>
      </c>
      <c r="C15" s="13">
        <f t="shared" si="0"/>
        <v>119.90989350855087</v>
      </c>
      <c r="D15" s="10">
        <f>(B11*B15)</f>
        <v>4.197358</v>
      </c>
      <c r="E15" s="16">
        <f>ROUND((C14*B11*B15*336)/($C$4),-1)</f>
        <v>5070</v>
      </c>
      <c r="F15" s="16">
        <f>ROUND(((($C$3-E15)/$C$3)*100),0)</f>
        <v>22</v>
      </c>
      <c r="G15" s="33"/>
    </row>
    <row r="16" spans="1:7" ht="12.75">
      <c r="A16" s="9" t="s">
        <v>16</v>
      </c>
      <c r="B16" s="10">
        <v>0.912</v>
      </c>
      <c r="C16" s="13">
        <f t="shared" si="0"/>
        <v>146.0744426403509</v>
      </c>
      <c r="D16" s="10">
        <f>(B11*B16)</f>
        <v>3.445536</v>
      </c>
      <c r="E16" s="16">
        <f>ROUND((C15*B11*B16*336)/($C$4),-1)</f>
        <v>5380</v>
      </c>
      <c r="F16" s="16">
        <f>ROUND(((($C$3-E16)/$C$3)*100),0)</f>
        <v>17</v>
      </c>
      <c r="G16" s="33"/>
    </row>
    <row r="17" spans="1:7" ht="12.75">
      <c r="A17" s="9" t="s">
        <v>29</v>
      </c>
      <c r="B17" s="10">
        <v>0.778</v>
      </c>
      <c r="C17" s="15">
        <f t="shared" si="0"/>
        <v>171.23379394344474</v>
      </c>
      <c r="D17" s="10">
        <f>(B11*B17)</f>
        <v>2.9392840000000002</v>
      </c>
      <c r="E17" s="16">
        <f>ROUND((C16*B11*B17*336)/($C$4),-1)</f>
        <v>5590</v>
      </c>
      <c r="F17" s="16">
        <f>ROUND(((($C$3-E17)/$C$3)*100),0)</f>
        <v>14</v>
      </c>
      <c r="G17" s="33"/>
    </row>
    <row r="18" spans="1:7" ht="12.75">
      <c r="A18" s="9" t="s">
        <v>17</v>
      </c>
      <c r="B18" s="10"/>
      <c r="C18" s="14">
        <f>($C$5*B11*B17*336)/($C$4)</f>
        <v>2870.928558139535</v>
      </c>
      <c r="D18" s="10"/>
      <c r="E18" s="16"/>
      <c r="F18" s="16"/>
      <c r="G18" s="33"/>
    </row>
    <row r="19" ht="12.75"/>
    <row r="20" ht="12.75"/>
    <row r="21" spans="1:6" ht="12.75">
      <c r="A21" s="9" t="s">
        <v>5</v>
      </c>
      <c r="B21" s="8" t="s">
        <v>30</v>
      </c>
      <c r="C21" s="12"/>
      <c r="D21" s="8" t="s">
        <v>7</v>
      </c>
      <c r="E21" s="17" t="s">
        <v>25</v>
      </c>
      <c r="F21" s="17" t="s">
        <v>27</v>
      </c>
    </row>
    <row r="22" spans="1:6" ht="12.75">
      <c r="A22" s="9"/>
      <c r="B22" s="1" t="s">
        <v>8</v>
      </c>
      <c r="C22" s="1" t="s">
        <v>9</v>
      </c>
      <c r="D22" s="1" t="s">
        <v>10</v>
      </c>
      <c r="E22" s="17">
        <f>$C$3</f>
        <v>6500</v>
      </c>
      <c r="F22" s="17" t="s">
        <v>28</v>
      </c>
    </row>
    <row r="23" spans="1:6" ht="12.75">
      <c r="A23" s="9" t="s">
        <v>11</v>
      </c>
      <c r="B23" s="10">
        <v>3.75</v>
      </c>
      <c r="C23" s="13"/>
      <c r="D23" s="1" t="s">
        <v>8</v>
      </c>
      <c r="E23" s="17" t="s">
        <v>26</v>
      </c>
      <c r="F23" s="17"/>
    </row>
    <row r="24" spans="1:6" ht="12.75">
      <c r="A24" s="9" t="s">
        <v>12</v>
      </c>
      <c r="B24" s="10">
        <v>3.88</v>
      </c>
      <c r="C24" s="13">
        <f aca="true" t="shared" si="1" ref="C24:C29">((($C$3/$B$23/B24))*(($C$4/2)*2*3.1457))*(0.000947)</f>
        <v>34.33502363092784</v>
      </c>
      <c r="D24" s="10">
        <f>(B23*B24)</f>
        <v>14.549999999999999</v>
      </c>
      <c r="E24" s="16"/>
      <c r="F24" s="16"/>
    </row>
    <row r="25" spans="1:6" ht="12.75">
      <c r="A25" s="9" t="s">
        <v>13</v>
      </c>
      <c r="B25" s="10">
        <v>2.19</v>
      </c>
      <c r="C25" s="13">
        <f t="shared" si="1"/>
        <v>60.831000770776264</v>
      </c>
      <c r="D25" s="10">
        <f>(B23*B25)</f>
        <v>8.2125</v>
      </c>
      <c r="E25" s="16">
        <f>ROUND((C24*B23*B25*336)/($C$4),-1)</f>
        <v>3670</v>
      </c>
      <c r="F25" s="16">
        <f>ROUND(((($C$3-E25)/$C$3)*100),0)</f>
        <v>44</v>
      </c>
    </row>
    <row r="26" spans="1:6" ht="12.75">
      <c r="A26" s="9" t="s">
        <v>14</v>
      </c>
      <c r="B26" s="10">
        <v>1.42</v>
      </c>
      <c r="C26" s="13">
        <f t="shared" si="1"/>
        <v>93.81682513239438</v>
      </c>
      <c r="D26" s="10">
        <f>(B23*B26)</f>
        <v>5.324999999999999</v>
      </c>
      <c r="E26" s="16">
        <f>ROUND((C25*B23*B26*336)/($C$4),-1)</f>
        <v>4220</v>
      </c>
      <c r="F26" s="16">
        <f>ROUND(((($C$3-E26)/$C$3)*100),0)</f>
        <v>35</v>
      </c>
    </row>
    <row r="27" spans="1:6" ht="12.75">
      <c r="A27" s="9" t="s">
        <v>15</v>
      </c>
      <c r="B27" s="10">
        <v>1.03</v>
      </c>
      <c r="C27" s="13">
        <f t="shared" si="1"/>
        <v>129.33970066796115</v>
      </c>
      <c r="D27" s="10">
        <f>(B23*B27)</f>
        <v>3.8625000000000003</v>
      </c>
      <c r="E27" s="16">
        <f>ROUND((C26*B23*B27*336)/($C$4),-1)</f>
        <v>4720</v>
      </c>
      <c r="F27" s="16">
        <f>ROUND(((($C$3-E27)/$C$3)*100),0)</f>
        <v>27</v>
      </c>
    </row>
    <row r="28" spans="1:6" ht="12.75">
      <c r="A28" s="9" t="s">
        <v>16</v>
      </c>
      <c r="B28" s="10">
        <v>0.73</v>
      </c>
      <c r="C28" s="13">
        <f t="shared" si="1"/>
        <v>182.4930023123288</v>
      </c>
      <c r="D28" s="10">
        <f>(B23*B28)</f>
        <v>2.7375</v>
      </c>
      <c r="E28" s="16">
        <f>ROUND((C27*B23*B28*336)/($C$4),-1)</f>
        <v>4610</v>
      </c>
      <c r="F28" s="16">
        <f>ROUND(((($C$3-E28)/$C$3)*100),0)</f>
        <v>29</v>
      </c>
    </row>
    <row r="29" spans="1:6" ht="12.75">
      <c r="A29" s="9" t="s">
        <v>29</v>
      </c>
      <c r="B29" s="10">
        <v>0.6</v>
      </c>
      <c r="C29" s="15">
        <f t="shared" si="1"/>
        <v>222.03315281333334</v>
      </c>
      <c r="D29" s="10">
        <f>(B23*B29)</f>
        <v>2.25</v>
      </c>
      <c r="E29" s="16">
        <f>ROUND((C28*B23*B29*336)/($C$4),-1)</f>
        <v>5350</v>
      </c>
      <c r="F29" s="16">
        <f>ROUND(((($C$3-E29)/$C$3)*100),0)</f>
        <v>18</v>
      </c>
    </row>
    <row r="30" spans="1:6" ht="12.75">
      <c r="A30" s="9" t="s">
        <v>17</v>
      </c>
      <c r="B30" s="10"/>
      <c r="C30" s="14">
        <f>($C$5*B23*B29*336)/($C$4)</f>
        <v>2197.6744186046512</v>
      </c>
      <c r="D30" s="10"/>
      <c r="E30" s="16"/>
      <c r="F30" s="16"/>
    </row>
    <row r="33" spans="1:6" ht="12.75">
      <c r="A33" s="11" t="s">
        <v>5</v>
      </c>
      <c r="B33" s="1" t="s">
        <v>31</v>
      </c>
      <c r="C33" s="12"/>
      <c r="D33" s="8" t="s">
        <v>7</v>
      </c>
      <c r="E33" s="17" t="s">
        <v>25</v>
      </c>
      <c r="F33" s="17" t="s">
        <v>27</v>
      </c>
    </row>
    <row r="34" spans="1:6" ht="12.75">
      <c r="A34" s="11"/>
      <c r="B34" s="1" t="s">
        <v>8</v>
      </c>
      <c r="C34" s="1" t="s">
        <v>9</v>
      </c>
      <c r="D34" s="1" t="s">
        <v>10</v>
      </c>
      <c r="E34" s="17">
        <f>$C$3</f>
        <v>6500</v>
      </c>
      <c r="F34" s="17" t="s">
        <v>28</v>
      </c>
    </row>
    <row r="35" spans="1:6" ht="12.75">
      <c r="A35" s="11" t="s">
        <v>11</v>
      </c>
      <c r="B35" s="10">
        <v>3.88</v>
      </c>
      <c r="C35" s="13"/>
      <c r="D35" s="1" t="s">
        <v>8</v>
      </c>
      <c r="E35" s="17" t="s">
        <v>26</v>
      </c>
      <c r="F35" s="17"/>
    </row>
    <row r="36" spans="1:6" ht="12.75">
      <c r="A36" s="11" t="s">
        <v>12</v>
      </c>
      <c r="B36" s="10">
        <v>3.75</v>
      </c>
      <c r="C36" s="13">
        <f aca="true" t="shared" si="2" ref="C36:C41">((($C$3/$B$35/B36))*(($C$4/2)*2*3.1457))*(0.000947)</f>
        <v>34.33502363092784</v>
      </c>
      <c r="D36" s="10">
        <f>(B35*B36)</f>
        <v>14.549999999999999</v>
      </c>
      <c r="E36" s="16"/>
      <c r="F36" s="16"/>
    </row>
    <row r="37" spans="1:6" ht="12.75">
      <c r="A37" s="11" t="s">
        <v>13</v>
      </c>
      <c r="B37" s="10">
        <v>2.06</v>
      </c>
      <c r="C37" s="13">
        <f t="shared" si="2"/>
        <v>62.50307699804826</v>
      </c>
      <c r="D37" s="10">
        <f>(B35*B37)</f>
        <v>7.9928</v>
      </c>
      <c r="E37" s="16">
        <f>ROUND((C36*B35*B37*336)/($C$4),-1)</f>
        <v>3570</v>
      </c>
      <c r="F37" s="16">
        <f>ROUND(((($C$3-E37)/$C$3)*100),0)</f>
        <v>45</v>
      </c>
    </row>
    <row r="38" spans="1:6" ht="12.75">
      <c r="A38" s="11" t="s">
        <v>14</v>
      </c>
      <c r="B38" s="10">
        <v>1.32</v>
      </c>
      <c r="C38" s="13">
        <f t="shared" si="2"/>
        <v>97.54268076968137</v>
      </c>
      <c r="D38" s="10">
        <f>(B35*B38)</f>
        <v>5.1216</v>
      </c>
      <c r="E38" s="16">
        <f>ROUND((C37*B35*B38*336)/($C$4),-1)</f>
        <v>4170</v>
      </c>
      <c r="F38" s="16">
        <f>ROUND(((($C$3-E38)/$C$3)*100),0)</f>
        <v>36</v>
      </c>
    </row>
    <row r="39" spans="1:6" ht="12.75">
      <c r="A39" s="11" t="s">
        <v>15</v>
      </c>
      <c r="B39" s="10">
        <v>1.07</v>
      </c>
      <c r="C39" s="13">
        <f t="shared" si="2"/>
        <v>120.33302674390596</v>
      </c>
      <c r="D39" s="10">
        <f>(B35*B39)</f>
        <v>4.1516</v>
      </c>
      <c r="E39" s="16">
        <f>ROUND((C38*B35*B39*336)/($C$4),-1)</f>
        <v>5270</v>
      </c>
      <c r="F39" s="16">
        <f>ROUND(((($C$3-E39)/$C$3)*100),0)</f>
        <v>19</v>
      </c>
    </row>
    <row r="40" spans="1:6" ht="12.75">
      <c r="A40" s="11" t="s">
        <v>16</v>
      </c>
      <c r="B40" s="10">
        <v>0.73</v>
      </c>
      <c r="C40" s="13">
        <f t="shared" si="2"/>
        <v>176.37854604928688</v>
      </c>
      <c r="D40" s="10">
        <f>(B35*B40)</f>
        <v>2.8324</v>
      </c>
      <c r="E40" s="16">
        <f>ROUND((C39*B35*B40*336)/($C$4),-1)</f>
        <v>4440</v>
      </c>
      <c r="F40" s="16">
        <f>ROUND(((($C$3-E40)/$C$3)*100),0)</f>
        <v>32</v>
      </c>
    </row>
    <row r="41" spans="1:6" ht="12.75">
      <c r="A41" s="9" t="s">
        <v>29</v>
      </c>
      <c r="B41" s="10">
        <v>0.6</v>
      </c>
      <c r="C41" s="15">
        <f t="shared" si="2"/>
        <v>214.59389769329903</v>
      </c>
      <c r="D41" s="10">
        <f>(B35*B41)</f>
        <v>2.328</v>
      </c>
      <c r="E41" s="16">
        <f>ROUND((C40*B35*B41*336)/($C$4),-1)</f>
        <v>5350</v>
      </c>
      <c r="F41" s="16">
        <f>ROUND(((($C$3-E41)/$C$3)*100),0)</f>
        <v>18</v>
      </c>
    </row>
    <row r="42" spans="1:6" ht="12.75">
      <c r="A42" s="9" t="s">
        <v>17</v>
      </c>
      <c r="B42" s="12"/>
      <c r="C42" s="14">
        <f>($C$5*B35*B41*336)/($C$4)</f>
        <v>2273.860465116279</v>
      </c>
      <c r="D42" s="10"/>
      <c r="E42" s="16"/>
      <c r="F42" s="16"/>
    </row>
    <row r="45" spans="1:6" ht="12.75">
      <c r="A45" s="9" t="s">
        <v>5</v>
      </c>
      <c r="B45" s="8" t="s">
        <v>32</v>
      </c>
      <c r="C45" s="12"/>
      <c r="D45" s="8" t="s">
        <v>7</v>
      </c>
      <c r="E45" s="17" t="s">
        <v>25</v>
      </c>
      <c r="F45" s="17" t="s">
        <v>27</v>
      </c>
    </row>
    <row r="46" spans="1:6" ht="12.75">
      <c r="A46" s="9"/>
      <c r="B46" s="1" t="s">
        <v>8</v>
      </c>
      <c r="C46" s="1" t="s">
        <v>9</v>
      </c>
      <c r="D46" s="1" t="s">
        <v>10</v>
      </c>
      <c r="E46" s="17">
        <f>$C$3</f>
        <v>6500</v>
      </c>
      <c r="F46" s="17" t="s">
        <v>28</v>
      </c>
    </row>
    <row r="47" spans="1:6" ht="12.75">
      <c r="A47" s="9" t="s">
        <v>11</v>
      </c>
      <c r="B47" s="10">
        <v>3.75</v>
      </c>
      <c r="C47" s="13"/>
      <c r="D47" s="1" t="s">
        <v>8</v>
      </c>
      <c r="E47" s="17" t="s">
        <v>26</v>
      </c>
      <c r="F47" s="17"/>
    </row>
    <row r="48" spans="1:6" ht="12.75">
      <c r="A48" s="9" t="s">
        <v>12</v>
      </c>
      <c r="B48" s="10">
        <v>3.88</v>
      </c>
      <c r="C48" s="13">
        <f aca="true" t="shared" si="3" ref="C48:C53">((($C$3/$B$47/B48))*(($C$4/2)*2*3.1457))*(0.000947)</f>
        <v>34.33502363092784</v>
      </c>
      <c r="D48" s="10">
        <f>(B47*B48)</f>
        <v>14.549999999999999</v>
      </c>
      <c r="E48" s="16"/>
      <c r="F48" s="16"/>
    </row>
    <row r="49" spans="1:6" ht="12.75">
      <c r="A49" s="9" t="s">
        <v>13</v>
      </c>
      <c r="B49" s="10">
        <v>2.19</v>
      </c>
      <c r="C49" s="13">
        <f t="shared" si="3"/>
        <v>60.831000770776264</v>
      </c>
      <c r="D49" s="10">
        <f>(B47*B49)</f>
        <v>8.2125</v>
      </c>
      <c r="E49" s="16">
        <f>ROUND((C48*B47*B49*336)/($C$4),-1)</f>
        <v>3670</v>
      </c>
      <c r="F49" s="16">
        <f>ROUND(((($C$3-E49)/$C$3)*100),0)</f>
        <v>44</v>
      </c>
    </row>
    <row r="50" spans="1:6" ht="12.75">
      <c r="A50" s="9" t="s">
        <v>14</v>
      </c>
      <c r="B50" s="10">
        <v>1.42</v>
      </c>
      <c r="C50" s="13">
        <f t="shared" si="3"/>
        <v>93.81682513239438</v>
      </c>
      <c r="D50" s="10">
        <f>(B47*B50)</f>
        <v>5.324999999999999</v>
      </c>
      <c r="E50" s="16">
        <f>ROUND((C49*B47*B50*336)/($C$4),-1)</f>
        <v>4220</v>
      </c>
      <c r="F50" s="16">
        <f>ROUND(((($C$3-E50)/$C$3)*100),0)</f>
        <v>35</v>
      </c>
    </row>
    <row r="51" spans="1:6" ht="12.75">
      <c r="A51" s="9" t="s">
        <v>15</v>
      </c>
      <c r="B51" s="10">
        <v>1.03</v>
      </c>
      <c r="C51" s="13">
        <f t="shared" si="3"/>
        <v>129.33970066796115</v>
      </c>
      <c r="D51" s="10">
        <f>(B47*B51)</f>
        <v>3.8625000000000003</v>
      </c>
      <c r="E51" s="16">
        <f>ROUND((C50*B47*B51*336)/($C$4),-1)</f>
        <v>4720</v>
      </c>
      <c r="F51" s="16">
        <f>ROUND(((($C$3-E51)/$C$3)*100),0)</f>
        <v>27</v>
      </c>
    </row>
    <row r="52" spans="1:6" ht="12.75">
      <c r="A52" s="9" t="s">
        <v>16</v>
      </c>
      <c r="B52" s="10">
        <v>0.73</v>
      </c>
      <c r="C52" s="13">
        <f t="shared" si="3"/>
        <v>182.4930023123288</v>
      </c>
      <c r="D52" s="10">
        <f>(B47*B52)</f>
        <v>2.7375</v>
      </c>
      <c r="E52" s="16">
        <f>ROUND((C51*B47*B52*336)/($C$4),-1)</f>
        <v>4610</v>
      </c>
      <c r="F52" s="16">
        <f>ROUND(((($C$3-E52)/$C$3)*100),0)</f>
        <v>29</v>
      </c>
    </row>
    <row r="53" spans="1:6" ht="12.75">
      <c r="A53" s="9" t="s">
        <v>29</v>
      </c>
      <c r="B53" s="10">
        <v>0.6</v>
      </c>
      <c r="C53" s="15">
        <f t="shared" si="3"/>
        <v>222.03315281333334</v>
      </c>
      <c r="D53" s="10">
        <f>(B47*B53)</f>
        <v>2.25</v>
      </c>
      <c r="E53" s="16">
        <f>ROUND((C52*B47*B53*336)/($C$4),-1)</f>
        <v>5350</v>
      </c>
      <c r="F53" s="16">
        <f>ROUND(((($C$3-E53)/$C$3)*100),0)</f>
        <v>18</v>
      </c>
    </row>
    <row r="54" spans="1:6" ht="12.75">
      <c r="A54" s="9" t="s">
        <v>17</v>
      </c>
      <c r="B54" s="10"/>
      <c r="C54" s="14">
        <f>($C$5*B47*B53*336)/($C$4)</f>
        <v>2197.6744186046512</v>
      </c>
      <c r="D54" s="10"/>
      <c r="E54" s="16"/>
      <c r="F54" s="16"/>
    </row>
    <row r="57" spans="1:6" ht="12.75">
      <c r="A57" s="9" t="s">
        <v>5</v>
      </c>
      <c r="B57" s="8" t="s">
        <v>33</v>
      </c>
      <c r="C57" s="12"/>
      <c r="D57" s="8" t="s">
        <v>7</v>
      </c>
      <c r="E57" s="17" t="s">
        <v>25</v>
      </c>
      <c r="F57" s="17" t="s">
        <v>27</v>
      </c>
    </row>
    <row r="58" spans="1:6" ht="12.75">
      <c r="A58" s="11"/>
      <c r="B58" s="1" t="s">
        <v>8</v>
      </c>
      <c r="C58" s="1" t="s">
        <v>9</v>
      </c>
      <c r="D58" s="1" t="s">
        <v>10</v>
      </c>
      <c r="E58" s="17">
        <f>$C$3</f>
        <v>6500</v>
      </c>
      <c r="F58" s="17" t="s">
        <v>28</v>
      </c>
    </row>
    <row r="59" spans="1:6" ht="12.75">
      <c r="A59" s="11" t="s">
        <v>11</v>
      </c>
      <c r="B59" s="10">
        <v>3.88</v>
      </c>
      <c r="C59" s="13"/>
      <c r="D59" s="1" t="s">
        <v>8</v>
      </c>
      <c r="E59" s="17" t="s">
        <v>26</v>
      </c>
      <c r="F59" s="17"/>
    </row>
    <row r="60" spans="1:6" ht="12.75">
      <c r="A60" s="11" t="s">
        <v>12</v>
      </c>
      <c r="B60" s="10">
        <v>3.5</v>
      </c>
      <c r="C60" s="13">
        <f aca="true" t="shared" si="4" ref="C60:C65">((($C$3/$B$59/B60))*(($C$4/2)*2*3.1457))*(0.000947)</f>
        <v>36.78752531885126</v>
      </c>
      <c r="D60" s="10">
        <f>(B59*B60)</f>
        <v>13.58</v>
      </c>
      <c r="E60" s="16"/>
      <c r="F60" s="16"/>
    </row>
    <row r="61" spans="1:6" ht="12.75">
      <c r="A61" s="11" t="s">
        <v>13</v>
      </c>
      <c r="B61" s="10">
        <v>1.89</v>
      </c>
      <c r="C61" s="13">
        <f t="shared" si="4"/>
        <v>68.12504688676158</v>
      </c>
      <c r="D61" s="10">
        <f>(B59*B61)</f>
        <v>7.3332</v>
      </c>
      <c r="E61" s="16">
        <f>ROUND((C60*B59*B61*336)/($C$4),-1)</f>
        <v>3510</v>
      </c>
      <c r="F61" s="16">
        <f>ROUND(((($C$3-E61)/$C$3)*100),0)</f>
        <v>46</v>
      </c>
    </row>
    <row r="62" spans="1:6" ht="12.75">
      <c r="A62" s="11" t="s">
        <v>14</v>
      </c>
      <c r="B62" s="10">
        <v>1.23</v>
      </c>
      <c r="C62" s="13">
        <f t="shared" si="4"/>
        <v>104.67995009429221</v>
      </c>
      <c r="D62" s="10">
        <f>(B59*B62)</f>
        <v>4.7724</v>
      </c>
      <c r="E62" s="16">
        <f>ROUND((C61*B59*B62*336)/($C$4),-1)</f>
        <v>4230</v>
      </c>
      <c r="F62" s="16">
        <f>ROUND(((($C$3-E62)/$C$3)*100),0)</f>
        <v>35</v>
      </c>
    </row>
    <row r="63" spans="1:6" ht="12.75">
      <c r="A63" s="11" t="s">
        <v>15</v>
      </c>
      <c r="B63" s="10">
        <v>0.87</v>
      </c>
      <c r="C63" s="13">
        <f t="shared" si="4"/>
        <v>147.99579151261997</v>
      </c>
      <c r="D63" s="10">
        <f>(B59*B63)</f>
        <v>3.3756</v>
      </c>
      <c r="E63" s="16">
        <f>ROUND((C62*B59*B63*336)/($C$4),-1)</f>
        <v>4600</v>
      </c>
      <c r="F63" s="16">
        <f>ROUND(((($C$3-E63)/$C$3)*100),0)</f>
        <v>29</v>
      </c>
    </row>
    <row r="64" spans="1:6" ht="12.75">
      <c r="A64" s="11" t="s">
        <v>16</v>
      </c>
      <c r="B64" s="10">
        <v>0.73</v>
      </c>
      <c r="C64" s="13">
        <f t="shared" si="4"/>
        <v>176.37854604928688</v>
      </c>
      <c r="D64" s="10">
        <f>(B59*B64)</f>
        <v>2.8324</v>
      </c>
      <c r="E64" s="16">
        <f>ROUND((C63*B59*B64*336)/($C$4),-1)</f>
        <v>5460</v>
      </c>
      <c r="F64" s="16">
        <f>ROUND(((($C$3-E64)/$C$3)*100),0)</f>
        <v>16</v>
      </c>
    </row>
    <row r="65" spans="1:6" ht="12.75">
      <c r="A65" s="11" t="s">
        <v>29</v>
      </c>
      <c r="B65" s="10">
        <v>0.56</v>
      </c>
      <c r="C65" s="15">
        <f t="shared" si="4"/>
        <v>229.9220332428203</v>
      </c>
      <c r="D65" s="10">
        <f>(B59*B65)</f>
        <v>2.1728</v>
      </c>
      <c r="E65" s="16">
        <f>ROUND((C64*B59*B65*336)/($C$4),-1)</f>
        <v>4990</v>
      </c>
      <c r="F65" s="16">
        <f>ROUND(((($C$3-E65)/$C$3)*100),0)</f>
        <v>23</v>
      </c>
    </row>
    <row r="66" spans="1:6" ht="12.75">
      <c r="A66" s="9" t="s">
        <v>17</v>
      </c>
      <c r="B66" s="10"/>
      <c r="C66" s="14">
        <f>($C$5*B59*B65*336)/($C$4)</f>
        <v>2122.2697674418605</v>
      </c>
      <c r="D66" s="10"/>
      <c r="E66" s="16"/>
      <c r="F66" s="16"/>
    </row>
    <row r="69" spans="1:6" ht="12.75">
      <c r="A69" s="9" t="s">
        <v>5</v>
      </c>
      <c r="B69" s="1" t="s">
        <v>34</v>
      </c>
      <c r="C69" s="12"/>
      <c r="D69" s="8" t="s">
        <v>7</v>
      </c>
      <c r="E69" s="17" t="s">
        <v>25</v>
      </c>
      <c r="F69" s="17" t="s">
        <v>27</v>
      </c>
    </row>
    <row r="70" spans="1:6" ht="12.75">
      <c r="A70" s="9"/>
      <c r="B70" s="1" t="s">
        <v>8</v>
      </c>
      <c r="C70" s="1" t="s">
        <v>9</v>
      </c>
      <c r="D70" s="1" t="s">
        <v>10</v>
      </c>
      <c r="E70" s="17">
        <f>$C$3</f>
        <v>6500</v>
      </c>
      <c r="F70" s="17" t="s">
        <v>28</v>
      </c>
    </row>
    <row r="71" spans="1:6" ht="12.75">
      <c r="A71" s="9" t="s">
        <v>11</v>
      </c>
      <c r="B71" s="10">
        <v>3.88</v>
      </c>
      <c r="C71" s="13"/>
      <c r="D71" s="1" t="s">
        <v>8</v>
      </c>
      <c r="E71" s="17" t="s">
        <v>26</v>
      </c>
      <c r="F71" s="17"/>
    </row>
    <row r="72" spans="1:6" ht="12.75">
      <c r="A72" s="9" t="s">
        <v>12</v>
      </c>
      <c r="B72" s="10">
        <v>3.5</v>
      </c>
      <c r="C72" s="13">
        <f aca="true" t="shared" si="5" ref="C72:C77">((($C$3/$B$71/B72))*(($C$4/2)*2*3.1457))*(0.000947)</f>
        <v>36.78752531885126</v>
      </c>
      <c r="D72" s="10">
        <f>(B71*B72)</f>
        <v>13.58</v>
      </c>
      <c r="E72" s="16"/>
      <c r="F72" s="16"/>
    </row>
    <row r="73" spans="1:6" ht="12.75">
      <c r="A73" s="9" t="s">
        <v>13</v>
      </c>
      <c r="B73" s="10">
        <v>1.89</v>
      </c>
      <c r="C73" s="13">
        <f t="shared" si="5"/>
        <v>68.12504688676158</v>
      </c>
      <c r="D73" s="10">
        <f>(B71*B73)</f>
        <v>7.3332</v>
      </c>
      <c r="E73" s="16">
        <f>ROUND((C72*B71*B73*336)/($C$4),-1)</f>
        <v>3510</v>
      </c>
      <c r="F73" s="16">
        <f>ROUND(((($C$3-E73)/$C$3)*100),0)</f>
        <v>46</v>
      </c>
    </row>
    <row r="74" spans="1:6" ht="12.75">
      <c r="A74" s="9" t="s">
        <v>14</v>
      </c>
      <c r="B74" s="10">
        <v>1.23</v>
      </c>
      <c r="C74" s="13">
        <f t="shared" si="5"/>
        <v>104.67995009429221</v>
      </c>
      <c r="D74" s="10">
        <f>(B71*B74)</f>
        <v>4.7724</v>
      </c>
      <c r="E74" s="16">
        <f>ROUND((C73*B71*B74*336)/($C$4),-1)</f>
        <v>4230</v>
      </c>
      <c r="F74" s="16">
        <f>ROUND(((($C$3-E74)/$C$3)*100),0)</f>
        <v>35</v>
      </c>
    </row>
    <row r="75" spans="1:6" ht="12.75">
      <c r="A75" s="9" t="s">
        <v>15</v>
      </c>
      <c r="B75" s="10">
        <v>1.07</v>
      </c>
      <c r="C75" s="13">
        <f t="shared" si="5"/>
        <v>120.33302674390596</v>
      </c>
      <c r="D75" s="10">
        <f>(B71*B75)</f>
        <v>4.1516</v>
      </c>
      <c r="E75" s="16">
        <f>ROUND((C74*B71*B75*336)/($C$4),-1)</f>
        <v>5660</v>
      </c>
      <c r="F75" s="16">
        <f>ROUND(((($C$3-E75)/$C$3)*100),0)</f>
        <v>13</v>
      </c>
    </row>
    <row r="76" spans="1:6" ht="12.75">
      <c r="A76" s="9" t="s">
        <v>16</v>
      </c>
      <c r="B76" s="10">
        <v>0.73</v>
      </c>
      <c r="C76" s="13">
        <f t="shared" si="5"/>
        <v>176.37854604928688</v>
      </c>
      <c r="D76" s="10">
        <f>(B71*B76)</f>
        <v>2.8324</v>
      </c>
      <c r="E76" s="16">
        <f>ROUND((C75*B71*B76*336)/($C$4),-1)</f>
        <v>4440</v>
      </c>
      <c r="F76" s="16">
        <f>ROUND(((($C$3-E76)/$C$3)*100),0)</f>
        <v>32</v>
      </c>
    </row>
    <row r="77" spans="1:6" ht="12.75">
      <c r="A77" s="11" t="s">
        <v>29</v>
      </c>
      <c r="B77" s="10">
        <v>0.6</v>
      </c>
      <c r="C77" s="15">
        <f t="shared" si="5"/>
        <v>214.59389769329903</v>
      </c>
      <c r="D77" s="10">
        <f>(B71*B77)</f>
        <v>2.328</v>
      </c>
      <c r="E77" s="16">
        <f>ROUND((C76*B71*B77*336)/($C$4),-1)</f>
        <v>5350</v>
      </c>
      <c r="F77" s="16">
        <f>ROUND(((($C$3-E77)/$C$3)*100),0)</f>
        <v>18</v>
      </c>
    </row>
    <row r="78" spans="1:6" ht="12.75">
      <c r="A78" s="9" t="s">
        <v>17</v>
      </c>
      <c r="B78" s="12"/>
      <c r="C78" s="14">
        <f>($C$5*B71*B77*336)/($C$4)</f>
        <v>2273.860465116279</v>
      </c>
      <c r="D78" s="10"/>
      <c r="E78" s="16"/>
      <c r="F78" s="16"/>
    </row>
    <row r="81" spans="1:6" ht="12.75">
      <c r="A81" s="11" t="s">
        <v>5</v>
      </c>
      <c r="B81" s="1" t="s">
        <v>35</v>
      </c>
      <c r="C81" s="12"/>
      <c r="D81" s="8" t="s">
        <v>7</v>
      </c>
      <c r="E81" s="17" t="s">
        <v>25</v>
      </c>
      <c r="F81" s="17" t="s">
        <v>27</v>
      </c>
    </row>
    <row r="82" spans="1:6" ht="12.75">
      <c r="A82" s="11"/>
      <c r="B82" s="1" t="s">
        <v>8</v>
      </c>
      <c r="C82" s="1" t="s">
        <v>9</v>
      </c>
      <c r="D82" s="1" t="s">
        <v>10</v>
      </c>
      <c r="E82" s="17">
        <f>$C$3</f>
        <v>6500</v>
      </c>
      <c r="F82" s="17" t="s">
        <v>28</v>
      </c>
    </row>
    <row r="83" spans="1:6" ht="12.75">
      <c r="A83" s="11" t="s">
        <v>11</v>
      </c>
      <c r="B83" s="10">
        <v>3.88</v>
      </c>
      <c r="C83" s="13"/>
      <c r="D83" s="1" t="s">
        <v>8</v>
      </c>
      <c r="E83" s="17" t="s">
        <v>26</v>
      </c>
      <c r="F83" s="17"/>
    </row>
    <row r="84" spans="1:6" ht="12.75">
      <c r="A84" s="11" t="s">
        <v>12</v>
      </c>
      <c r="B84" s="10">
        <v>3.5</v>
      </c>
      <c r="C84" s="13">
        <f aca="true" t="shared" si="6" ref="C84:C89">((($C$3/$B$83/B84))*(($C$4/2)*2*3.1457))*(0.000947)</f>
        <v>36.78752531885126</v>
      </c>
      <c r="D84" s="10">
        <f>(B83*B84)</f>
        <v>13.58</v>
      </c>
      <c r="E84" s="16"/>
      <c r="F84" s="16"/>
    </row>
    <row r="85" spans="1:6" ht="12.75">
      <c r="A85" s="11" t="s">
        <v>13</v>
      </c>
      <c r="B85" s="10">
        <v>1.89</v>
      </c>
      <c r="C85" s="13">
        <f t="shared" si="6"/>
        <v>68.12504688676158</v>
      </c>
      <c r="D85" s="10">
        <f>(B83*B85)</f>
        <v>7.3332</v>
      </c>
      <c r="E85" s="16">
        <f>ROUND((C84*B83*B85*336)/($C$4),-1)</f>
        <v>3510</v>
      </c>
      <c r="F85" s="16">
        <f>ROUND(((($C$3-E85)/$C$3)*100),0)</f>
        <v>46</v>
      </c>
    </row>
    <row r="86" spans="1:6" ht="12.75">
      <c r="A86" s="11" t="s">
        <v>14</v>
      </c>
      <c r="B86" s="10">
        <v>1.23</v>
      </c>
      <c r="C86" s="13">
        <f t="shared" si="6"/>
        <v>104.67995009429221</v>
      </c>
      <c r="D86" s="10">
        <f>(B83*B86)</f>
        <v>4.7724</v>
      </c>
      <c r="E86" s="16">
        <f>ROUND((C85*B83*B86*336)/($C$4),-1)</f>
        <v>4230</v>
      </c>
      <c r="F86" s="16">
        <f>ROUND(((($C$3-E86)/$C$3)*100),0)</f>
        <v>35</v>
      </c>
    </row>
    <row r="87" spans="1:6" ht="12.75">
      <c r="A87" s="11" t="s">
        <v>15</v>
      </c>
      <c r="B87" s="10">
        <v>1.07</v>
      </c>
      <c r="C87" s="13">
        <f t="shared" si="6"/>
        <v>120.33302674390596</v>
      </c>
      <c r="D87" s="10">
        <f>(B83*B87)</f>
        <v>4.1516</v>
      </c>
      <c r="E87" s="16">
        <f>ROUND((C86*B83*B87*336)/($C$4),-1)</f>
        <v>5660</v>
      </c>
      <c r="F87" s="16">
        <f>ROUND(((($C$3-E87)/$C$3)*100),0)</f>
        <v>13</v>
      </c>
    </row>
    <row r="88" spans="1:6" ht="12.75">
      <c r="A88" s="11" t="s">
        <v>16</v>
      </c>
      <c r="B88" s="10">
        <v>0.73</v>
      </c>
      <c r="C88" s="13">
        <f t="shared" si="6"/>
        <v>176.37854604928688</v>
      </c>
      <c r="D88" s="10">
        <f>(B83*B88)</f>
        <v>2.8324</v>
      </c>
      <c r="E88" s="16">
        <f>ROUND((C87*B83*B88*336)/($C$4),-1)</f>
        <v>4440</v>
      </c>
      <c r="F88" s="16">
        <f>ROUND(((($C$3-E88)/$C$3)*100),0)</f>
        <v>32</v>
      </c>
    </row>
    <row r="89" spans="1:6" ht="12.75">
      <c r="A89" s="11" t="s">
        <v>29</v>
      </c>
      <c r="B89" s="10">
        <v>0.6</v>
      </c>
      <c r="C89" s="15">
        <f t="shared" si="6"/>
        <v>214.59389769329903</v>
      </c>
      <c r="D89" s="10">
        <f>(B83*B89)</f>
        <v>2.328</v>
      </c>
      <c r="E89" s="16">
        <f>ROUND((C88*B83*B89*336)/($C$4),-1)</f>
        <v>5350</v>
      </c>
      <c r="F89" s="16">
        <f>ROUND(((($C$3-E89)/$C$3)*100),0)</f>
        <v>18</v>
      </c>
    </row>
    <row r="90" spans="1:6" ht="12.75">
      <c r="A90" s="9" t="s">
        <v>17</v>
      </c>
      <c r="B90" s="12"/>
      <c r="C90" s="14">
        <f>($C$5*B83*B89*336)/($C$4)</f>
        <v>2273.860465116279</v>
      </c>
      <c r="D90" s="10"/>
      <c r="E90" s="16"/>
      <c r="F90" s="16"/>
    </row>
    <row r="93" spans="1:6" ht="12.75">
      <c r="A93" s="9" t="s">
        <v>5</v>
      </c>
      <c r="B93" s="8" t="s">
        <v>36</v>
      </c>
      <c r="C93" s="12"/>
      <c r="D93" s="8" t="s">
        <v>7</v>
      </c>
      <c r="E93" s="17" t="s">
        <v>25</v>
      </c>
      <c r="F93" s="17" t="s">
        <v>27</v>
      </c>
    </row>
    <row r="94" spans="1:6" ht="12.75">
      <c r="A94" s="11"/>
      <c r="B94" s="1" t="s">
        <v>8</v>
      </c>
      <c r="C94" s="1" t="s">
        <v>9</v>
      </c>
      <c r="D94" s="1" t="s">
        <v>10</v>
      </c>
      <c r="E94" s="17">
        <f>$C$3</f>
        <v>6500</v>
      </c>
      <c r="F94" s="17" t="s">
        <v>28</v>
      </c>
    </row>
    <row r="95" spans="1:6" ht="12.75">
      <c r="A95" s="11" t="s">
        <v>11</v>
      </c>
      <c r="B95" s="10">
        <v>3.88</v>
      </c>
      <c r="C95" s="13"/>
      <c r="D95" s="1" t="s">
        <v>8</v>
      </c>
      <c r="E95" s="17" t="s">
        <v>26</v>
      </c>
      <c r="F95" s="17"/>
    </row>
    <row r="96" spans="1:6" ht="12.75">
      <c r="A96" s="11" t="s">
        <v>12</v>
      </c>
      <c r="B96" s="10">
        <v>3.5</v>
      </c>
      <c r="C96" s="13">
        <f aca="true" t="shared" si="7" ref="C96:C101">((($C$3/$B$95/B96))*(($C$4/2)*2*3.1457))*(0.000947)</f>
        <v>36.78752531885126</v>
      </c>
      <c r="D96" s="10">
        <f>(B95*B96)</f>
        <v>13.58</v>
      </c>
      <c r="E96" s="16"/>
      <c r="F96" s="16"/>
    </row>
    <row r="97" spans="1:6" ht="12.75">
      <c r="A97" s="11" t="s">
        <v>13</v>
      </c>
      <c r="B97" s="10">
        <v>1.89</v>
      </c>
      <c r="C97" s="13">
        <f t="shared" si="7"/>
        <v>68.12504688676158</v>
      </c>
      <c r="D97" s="10">
        <f>(B95*B97)</f>
        <v>7.3332</v>
      </c>
      <c r="E97" s="16">
        <f>ROUND((C96*B95*B97*336)/($C$4),-1)</f>
        <v>3510</v>
      </c>
      <c r="F97" s="16">
        <f>ROUND(((($C$3-E97)/$C$3)*100),0)</f>
        <v>46</v>
      </c>
    </row>
    <row r="98" spans="1:6" ht="12.75">
      <c r="A98" s="11" t="s">
        <v>14</v>
      </c>
      <c r="B98" s="10">
        <v>1.23</v>
      </c>
      <c r="C98" s="13">
        <f t="shared" si="7"/>
        <v>104.67995009429221</v>
      </c>
      <c r="D98" s="10">
        <f>(B95*B98)</f>
        <v>4.7724</v>
      </c>
      <c r="E98" s="16">
        <f>ROUND((C97*B95*B98*336)/($C$4),-1)</f>
        <v>4230</v>
      </c>
      <c r="F98" s="16">
        <f>ROUND(((($C$3-E98)/$C$3)*100),0)</f>
        <v>35</v>
      </c>
    </row>
    <row r="99" spans="1:6" ht="12.75">
      <c r="A99" s="11" t="s">
        <v>15</v>
      </c>
      <c r="B99" s="10">
        <v>0.87</v>
      </c>
      <c r="C99" s="13">
        <f t="shared" si="7"/>
        <v>147.99579151261997</v>
      </c>
      <c r="D99" s="10">
        <f>(B95*B99)</f>
        <v>3.3756</v>
      </c>
      <c r="E99" s="16">
        <f>ROUND((C98*B95*B99*336)/($C$4),-1)</f>
        <v>4600</v>
      </c>
      <c r="F99" s="16">
        <f>ROUND(((($C$3-E99)/$C$3)*100),0)</f>
        <v>29</v>
      </c>
    </row>
    <row r="100" spans="1:6" ht="12.75">
      <c r="A100" s="11" t="s">
        <v>16</v>
      </c>
      <c r="B100" s="10">
        <v>0.67</v>
      </c>
      <c r="C100" s="13">
        <f t="shared" si="7"/>
        <v>192.1736397253424</v>
      </c>
      <c r="D100" s="10">
        <f>(B95*B100)</f>
        <v>2.5996</v>
      </c>
      <c r="E100" s="16">
        <f>ROUND((C99*B95*B100*336)/($C$4),-1)</f>
        <v>5010</v>
      </c>
      <c r="F100" s="16">
        <f>ROUND(((($C$3-E100)/$C$3)*100),0)</f>
        <v>23</v>
      </c>
    </row>
    <row r="101" spans="1:6" ht="12.75">
      <c r="A101" s="11" t="s">
        <v>29</v>
      </c>
      <c r="B101" s="10">
        <v>0.56</v>
      </c>
      <c r="C101" s="15">
        <f t="shared" si="7"/>
        <v>229.9220332428203</v>
      </c>
      <c r="D101" s="10">
        <f>(B95*B101)</f>
        <v>2.1728</v>
      </c>
      <c r="E101" s="16">
        <f>ROUND((C100*B95*B101*336)/($C$4),-1)</f>
        <v>5440</v>
      </c>
      <c r="F101" s="16">
        <f>ROUND(((($C$3-E101)/$C$3)*100),0)</f>
        <v>16</v>
      </c>
    </row>
    <row r="102" spans="1:6" ht="12.75">
      <c r="A102" s="9" t="s">
        <v>17</v>
      </c>
      <c r="B102" s="10"/>
      <c r="C102" s="14">
        <f>($C$5*B95*B101*336)/($C$4)</f>
        <v>2122.2697674418605</v>
      </c>
      <c r="D102" s="10"/>
      <c r="E102" s="16"/>
      <c r="F102" s="16"/>
    </row>
    <row r="105" spans="1:6" ht="12.75">
      <c r="A105" s="11" t="s">
        <v>5</v>
      </c>
      <c r="B105" s="1" t="s">
        <v>37</v>
      </c>
      <c r="C105" s="12"/>
      <c r="D105" s="8" t="s">
        <v>7</v>
      </c>
      <c r="E105" s="17" t="s">
        <v>25</v>
      </c>
      <c r="F105" s="17" t="s">
        <v>27</v>
      </c>
    </row>
    <row r="106" spans="1:6" ht="12.75">
      <c r="A106" s="11"/>
      <c r="B106" s="1" t="s">
        <v>8</v>
      </c>
      <c r="C106" s="1" t="s">
        <v>9</v>
      </c>
      <c r="D106" s="1" t="s">
        <v>10</v>
      </c>
      <c r="E106" s="17">
        <f>$C$3</f>
        <v>6500</v>
      </c>
      <c r="F106" s="17" t="s">
        <v>28</v>
      </c>
    </row>
    <row r="107" spans="1:6" ht="12.75">
      <c r="A107" s="11" t="s">
        <v>11</v>
      </c>
      <c r="B107" s="10">
        <v>3.88</v>
      </c>
      <c r="C107" s="13"/>
      <c r="D107" s="1" t="s">
        <v>8</v>
      </c>
      <c r="E107" s="17" t="s">
        <v>26</v>
      </c>
      <c r="F107" s="17"/>
    </row>
    <row r="108" spans="1:6" ht="12.75">
      <c r="A108" s="11" t="s">
        <v>12</v>
      </c>
      <c r="B108" s="10">
        <v>3.5</v>
      </c>
      <c r="C108" s="13">
        <f aca="true" t="shared" si="8" ref="C108:C113">((($C$3/$B$107/B108))*(($C$4/2)*2*3.1457))*(0.000947)</f>
        <v>36.78752531885126</v>
      </c>
      <c r="D108" s="10">
        <f>(B107*B108)</f>
        <v>13.58</v>
      </c>
      <c r="E108" s="16"/>
      <c r="F108" s="16"/>
    </row>
    <row r="109" spans="1:6" ht="12.75">
      <c r="A109" s="11" t="s">
        <v>13</v>
      </c>
      <c r="B109" s="10">
        <v>1.89</v>
      </c>
      <c r="C109" s="13">
        <f t="shared" si="8"/>
        <v>68.12504688676158</v>
      </c>
      <c r="D109" s="10">
        <f>(B107*B109)</f>
        <v>7.3332</v>
      </c>
      <c r="E109" s="16">
        <f>ROUND((C108*B107*B109*336)/($C$4),-1)</f>
        <v>3510</v>
      </c>
      <c r="F109" s="16">
        <f>ROUND(((($C$3-E109)/$C$3)*100),0)</f>
        <v>46</v>
      </c>
    </row>
    <row r="110" spans="1:6" ht="12.75">
      <c r="A110" s="11" t="s">
        <v>14</v>
      </c>
      <c r="B110" s="10">
        <v>1.23</v>
      </c>
      <c r="C110" s="13">
        <f t="shared" si="8"/>
        <v>104.67995009429221</v>
      </c>
      <c r="D110" s="10">
        <f>(B107*B110)</f>
        <v>4.7724</v>
      </c>
      <c r="E110" s="16">
        <f>ROUND((C109*B107*B110*336)/($C$4),-1)</f>
        <v>4230</v>
      </c>
      <c r="F110" s="16">
        <f>ROUND(((($C$3-E110)/$C$3)*100),0)</f>
        <v>35</v>
      </c>
    </row>
    <row r="111" spans="1:6" ht="12.75">
      <c r="A111" s="11" t="s">
        <v>15</v>
      </c>
      <c r="B111" s="10">
        <v>1.07</v>
      </c>
      <c r="C111" s="13">
        <f t="shared" si="8"/>
        <v>120.33302674390596</v>
      </c>
      <c r="D111" s="10">
        <f>(B107*B111)</f>
        <v>4.1516</v>
      </c>
      <c r="E111" s="16">
        <f>ROUND((C110*B107*B111*336)/($C$4),-1)</f>
        <v>5660</v>
      </c>
      <c r="F111" s="16">
        <f>ROUND(((($C$3-E111)/$C$3)*100),0)</f>
        <v>13</v>
      </c>
    </row>
    <row r="112" spans="1:6" ht="12.75">
      <c r="A112" s="11" t="s">
        <v>16</v>
      </c>
      <c r="B112" s="10">
        <v>0.73</v>
      </c>
      <c r="C112" s="13">
        <f t="shared" si="8"/>
        <v>176.37854604928688</v>
      </c>
      <c r="D112" s="10">
        <f>(B107*B112)</f>
        <v>2.8324</v>
      </c>
      <c r="E112" s="16">
        <f>ROUND((C111*B107*B112*336)/($C$4),-1)</f>
        <v>4440</v>
      </c>
      <c r="F112" s="16">
        <f>ROUND(((($C$3-E112)/$C$3)*100),0)</f>
        <v>32</v>
      </c>
    </row>
    <row r="113" spans="1:6" ht="12.75">
      <c r="A113" s="11" t="s">
        <v>29</v>
      </c>
      <c r="B113" s="10">
        <v>0.6</v>
      </c>
      <c r="C113" s="15">
        <f t="shared" si="8"/>
        <v>214.59389769329903</v>
      </c>
      <c r="D113" s="10">
        <f>(B107*B113)</f>
        <v>2.328</v>
      </c>
      <c r="E113" s="16">
        <f>ROUND((C112*B107*B113*336)/($C$4),-1)</f>
        <v>5350</v>
      </c>
      <c r="F113" s="16">
        <f>ROUND(((($C$3-E113)/$C$3)*100),0)</f>
        <v>18</v>
      </c>
    </row>
    <row r="114" spans="1:6" ht="12.75">
      <c r="A114" s="9" t="s">
        <v>17</v>
      </c>
      <c r="B114" s="12"/>
      <c r="C114" s="14">
        <f>($C$5*B107*B113*336)/($C$4)</f>
        <v>2273.860465116279</v>
      </c>
      <c r="D114" s="10"/>
      <c r="E114" s="16"/>
      <c r="F114" s="16"/>
    </row>
    <row r="117" spans="1:6" ht="12.75">
      <c r="A117" s="9" t="s">
        <v>5</v>
      </c>
      <c r="B117" s="8" t="s">
        <v>38</v>
      </c>
      <c r="C117" s="12"/>
      <c r="D117" s="8" t="s">
        <v>7</v>
      </c>
      <c r="E117" s="17" t="s">
        <v>25</v>
      </c>
      <c r="F117" s="17" t="s">
        <v>27</v>
      </c>
    </row>
    <row r="118" spans="1:6" ht="12.75">
      <c r="A118" s="11"/>
      <c r="B118" s="1" t="s">
        <v>8</v>
      </c>
      <c r="C118" s="1" t="s">
        <v>9</v>
      </c>
      <c r="D118" s="1" t="s">
        <v>10</v>
      </c>
      <c r="E118" s="17">
        <f>$C$3</f>
        <v>6500</v>
      </c>
      <c r="F118" s="17" t="s">
        <v>28</v>
      </c>
    </row>
    <row r="119" spans="1:6" ht="12.75">
      <c r="A119" s="11" t="s">
        <v>11</v>
      </c>
      <c r="B119" s="10">
        <v>3.88</v>
      </c>
      <c r="C119" s="13"/>
      <c r="D119" s="1" t="s">
        <v>8</v>
      </c>
      <c r="E119" s="17" t="s">
        <v>26</v>
      </c>
      <c r="F119" s="17"/>
    </row>
    <row r="120" spans="1:6" ht="12.75">
      <c r="A120" s="11" t="s">
        <v>12</v>
      </c>
      <c r="B120" s="10">
        <v>3.5</v>
      </c>
      <c r="C120" s="13">
        <f>((($C$3/$B$119/B120))*(($C$4/2)*2*3.1457))*(0.000947)</f>
        <v>36.78752531885126</v>
      </c>
      <c r="D120" s="10">
        <f>(B119*B120)</f>
        <v>13.58</v>
      </c>
      <c r="E120" s="16"/>
      <c r="F120" s="16"/>
    </row>
    <row r="121" spans="1:6" ht="12.75">
      <c r="A121" s="11" t="s">
        <v>13</v>
      </c>
      <c r="B121" s="10">
        <v>1.89</v>
      </c>
      <c r="C121" s="13">
        <f>((($C$3/$B$119/B121))*(($C$4/2)*2*3.1457))*(0.000947)</f>
        <v>68.12504688676158</v>
      </c>
      <c r="D121" s="10">
        <f>(B119*B121)</f>
        <v>7.3332</v>
      </c>
      <c r="E121" s="16">
        <f>ROUND((C120*B119*B121*336)/($C$4),-1)</f>
        <v>3510</v>
      </c>
      <c r="F121" s="16">
        <f>ROUND(((($C$3-E121)/$C$3)*100),0)</f>
        <v>46</v>
      </c>
    </row>
    <row r="122" spans="1:6" ht="12.75">
      <c r="A122" s="11" t="s">
        <v>14</v>
      </c>
      <c r="B122" s="10">
        <v>1.23</v>
      </c>
      <c r="C122" s="13">
        <f>((($C$3/$B119/B122))*(($C$4/2)*2*3.1457))*(0.000947)</f>
        <v>104.67995009429221</v>
      </c>
      <c r="D122" s="10">
        <f>(B119*B122)</f>
        <v>4.7724</v>
      </c>
      <c r="E122" s="16">
        <f>ROUND((C121*B119*B122*336)/($C$4),-1)</f>
        <v>4230</v>
      </c>
      <c r="F122" s="16">
        <f>ROUND(((($C$3-E122)/$C$3)*100),0)</f>
        <v>35</v>
      </c>
    </row>
    <row r="123" spans="1:6" ht="12.75">
      <c r="A123" s="11" t="s">
        <v>15</v>
      </c>
      <c r="B123" s="10">
        <v>0.87</v>
      </c>
      <c r="C123" s="13">
        <f>((($C$3/$B119/B123))*(($C$4/2)*2*3.1457))*(0.000947)</f>
        <v>147.99579151261997</v>
      </c>
      <c r="D123" s="10">
        <f>(B119*B123)</f>
        <v>3.3756</v>
      </c>
      <c r="E123" s="16">
        <f>ROUND((C122*B119*B123*336)/($C$4),-1)</f>
        <v>4600</v>
      </c>
      <c r="F123" s="16">
        <f>ROUND(((($C$3-E123)/$C$3)*100),0)</f>
        <v>29</v>
      </c>
    </row>
    <row r="124" spans="1:6" ht="12.75">
      <c r="A124" s="11" t="s">
        <v>16</v>
      </c>
      <c r="B124" s="10">
        <v>0.67</v>
      </c>
      <c r="C124" s="13">
        <f>((($C$3/$B$119/B124))*(($C$4/2)*2*3.1457))*(0.000947)</f>
        <v>192.1736397253424</v>
      </c>
      <c r="D124" s="10">
        <f>(B119*B124)</f>
        <v>2.5996</v>
      </c>
      <c r="E124" s="16">
        <f>ROUND((C123*B119*B124*336)/($C$4),-1)</f>
        <v>5010</v>
      </c>
      <c r="F124" s="16">
        <f>ROUND(((($C$3-E124)/$C$3)*100),0)</f>
        <v>23</v>
      </c>
    </row>
    <row r="125" spans="1:6" ht="12.75">
      <c r="A125" s="11" t="s">
        <v>29</v>
      </c>
      <c r="B125" s="10">
        <v>0.56</v>
      </c>
      <c r="C125" s="15">
        <f>((($C$3/$B$119/B125))*(($C$4/2)*2*3.1457))*(0.000947)</f>
        <v>229.9220332428203</v>
      </c>
      <c r="D125" s="10">
        <f>(B119*B125)</f>
        <v>2.1728</v>
      </c>
      <c r="E125" s="16">
        <f>ROUND((C124*B119*B125*336)/($C$4),-1)</f>
        <v>5440</v>
      </c>
      <c r="F125" s="16">
        <f>ROUND(((($C$3-E125)/$C$3)*100),0)</f>
        <v>16</v>
      </c>
    </row>
    <row r="126" spans="1:6" ht="12.75">
      <c r="A126" s="9" t="s">
        <v>17</v>
      </c>
      <c r="B126" s="10"/>
      <c r="C126" s="14">
        <f>($C$5*B119*B125*336)/($C$4)</f>
        <v>2122.2697674418605</v>
      </c>
      <c r="D126" s="10"/>
      <c r="E126" s="16"/>
      <c r="F126" s="16"/>
    </row>
    <row r="129" spans="1:6" ht="12.75">
      <c r="A129" s="11" t="s">
        <v>5</v>
      </c>
      <c r="B129" s="1" t="s">
        <v>39</v>
      </c>
      <c r="C129" s="12"/>
      <c r="D129" s="8" t="s">
        <v>7</v>
      </c>
      <c r="E129" s="17" t="s">
        <v>25</v>
      </c>
      <c r="F129" s="17" t="s">
        <v>27</v>
      </c>
    </row>
    <row r="130" spans="1:6" ht="12.75">
      <c r="A130" s="11"/>
      <c r="B130" s="1" t="s">
        <v>8</v>
      </c>
      <c r="C130" s="1" t="s">
        <v>9</v>
      </c>
      <c r="D130" s="1" t="s">
        <v>10</v>
      </c>
      <c r="E130" s="17">
        <f>$C$3</f>
        <v>6500</v>
      </c>
      <c r="F130" s="17" t="s">
        <v>28</v>
      </c>
    </row>
    <row r="131" spans="1:6" ht="12.75">
      <c r="A131" s="11" t="s">
        <v>11</v>
      </c>
      <c r="B131" s="10">
        <v>3.88</v>
      </c>
      <c r="C131" s="13"/>
      <c r="D131" s="1" t="s">
        <v>8</v>
      </c>
      <c r="E131" s="17" t="s">
        <v>26</v>
      </c>
      <c r="F131" s="17"/>
    </row>
    <row r="132" spans="1:6" ht="12.75">
      <c r="A132" s="11" t="s">
        <v>12</v>
      </c>
      <c r="B132" s="10">
        <v>3.75</v>
      </c>
      <c r="C132" s="13">
        <f aca="true" t="shared" si="9" ref="C132:C137">((($C$3/$B$131/B132))*(($C$4/2)*2*3.1457))*(0.000947)</f>
        <v>34.33502363092784</v>
      </c>
      <c r="D132" s="10">
        <f>(B131*B132)</f>
        <v>14.549999999999999</v>
      </c>
      <c r="E132" s="16"/>
      <c r="F132" s="16"/>
    </row>
    <row r="133" spans="1:6" ht="12.75">
      <c r="A133" s="11" t="s">
        <v>13</v>
      </c>
      <c r="B133" s="10">
        <v>2.19</v>
      </c>
      <c r="C133" s="13">
        <f t="shared" si="9"/>
        <v>58.79284868309562</v>
      </c>
      <c r="D133" s="10">
        <f>(B131*B133)</f>
        <v>8.4972</v>
      </c>
      <c r="E133" s="16">
        <f>ROUND((C132*B131*B133*336)/($C$4),-1)</f>
        <v>3800</v>
      </c>
      <c r="F133" s="16">
        <f>ROUND(((($C$3-E133)/$C$3)*100),0)</f>
        <v>42</v>
      </c>
    </row>
    <row r="134" spans="1:6" ht="12.75">
      <c r="A134" s="11" t="s">
        <v>14</v>
      </c>
      <c r="B134" s="10">
        <v>1.52</v>
      </c>
      <c r="C134" s="13">
        <f t="shared" si="9"/>
        <v>84.70811751051276</v>
      </c>
      <c r="D134" s="10">
        <f>(B131*B134)</f>
        <v>5.8976</v>
      </c>
      <c r="E134" s="16">
        <f>ROUND((C133*B131*B134*336)/($C$4),-1)</f>
        <v>4520</v>
      </c>
      <c r="F134" s="16">
        <f>ROUND(((($C$3-E134)/$C$3)*100),0)</f>
        <v>30</v>
      </c>
    </row>
    <row r="135" spans="1:6" ht="12.75">
      <c r="A135" s="11" t="s">
        <v>15</v>
      </c>
      <c r="B135" s="10">
        <v>0.97</v>
      </c>
      <c r="C135" s="13">
        <f t="shared" si="9"/>
        <v>132.73849341853546</v>
      </c>
      <c r="D135" s="10">
        <f>(B131*B135)</f>
        <v>3.7636</v>
      </c>
      <c r="E135" s="16">
        <f>ROUND((C134*B131*B135*336)/($C$4),-1)</f>
        <v>4150</v>
      </c>
      <c r="F135" s="16">
        <f>ROUND(((($C$3-E135)/$C$3)*100),0)</f>
        <v>36</v>
      </c>
    </row>
    <row r="136" spans="1:6" ht="12.75">
      <c r="A136" s="11" t="s">
        <v>16</v>
      </c>
      <c r="B136" s="10">
        <v>0.73</v>
      </c>
      <c r="C136" s="13">
        <f t="shared" si="9"/>
        <v>176.37854604928688</v>
      </c>
      <c r="D136" s="10">
        <f>(B131*B136)</f>
        <v>2.8324</v>
      </c>
      <c r="E136" s="16">
        <f>ROUND((C135*B131*B136*336)/($C$4),-1)</f>
        <v>4900</v>
      </c>
      <c r="F136" s="16">
        <f>ROUND(((($C$3-E136)/$C$3)*100),0)</f>
        <v>25</v>
      </c>
    </row>
    <row r="137" spans="1:6" ht="12.75">
      <c r="A137" s="11" t="s">
        <v>29</v>
      </c>
      <c r="B137" s="10">
        <v>0.6</v>
      </c>
      <c r="C137" s="15">
        <f t="shared" si="9"/>
        <v>214.59389769329903</v>
      </c>
      <c r="D137" s="10">
        <f>(B131*B137)</f>
        <v>2.328</v>
      </c>
      <c r="E137" s="16">
        <f>ROUND((C136*B131*B137*336)/($C$4),-1)</f>
        <v>5350</v>
      </c>
      <c r="F137" s="16">
        <f>ROUND(((($C$3-E137)/$C$3)*100),0)</f>
        <v>18</v>
      </c>
    </row>
    <row r="138" spans="1:6" ht="12.75">
      <c r="A138" s="9" t="s">
        <v>17</v>
      </c>
      <c r="B138" s="12"/>
      <c r="C138" s="14">
        <f>($C$5*B131*B137*336)/($C$4)</f>
        <v>2273.860465116279</v>
      </c>
      <c r="D138" s="10"/>
      <c r="E138" s="16"/>
      <c r="F138" s="16"/>
    </row>
    <row r="141" spans="1:6" ht="12.75">
      <c r="A141" s="11" t="s">
        <v>5</v>
      </c>
      <c r="B141" s="1" t="s">
        <v>40</v>
      </c>
      <c r="C141" s="12"/>
      <c r="D141" s="8" t="s">
        <v>7</v>
      </c>
      <c r="E141" s="17" t="s">
        <v>25</v>
      </c>
      <c r="F141" s="17" t="s">
        <v>27</v>
      </c>
    </row>
    <row r="142" spans="1:6" ht="12.75">
      <c r="A142" s="11"/>
      <c r="B142" s="1" t="s">
        <v>8</v>
      </c>
      <c r="C142" s="1" t="s">
        <v>9</v>
      </c>
      <c r="D142" s="1" t="s">
        <v>10</v>
      </c>
      <c r="E142" s="17">
        <f>$C$3</f>
        <v>6500</v>
      </c>
      <c r="F142" s="17" t="s">
        <v>28</v>
      </c>
    </row>
    <row r="143" spans="1:6" ht="12.75">
      <c r="A143" s="11" t="s">
        <v>11</v>
      </c>
      <c r="B143" s="10">
        <v>3.88</v>
      </c>
      <c r="C143" s="13"/>
      <c r="D143" s="1" t="s">
        <v>8</v>
      </c>
      <c r="E143" s="17" t="s">
        <v>26</v>
      </c>
      <c r="F143" s="17"/>
    </row>
    <row r="144" spans="1:6" ht="12.75">
      <c r="A144" s="11" t="s">
        <v>12</v>
      </c>
      <c r="B144" s="10">
        <v>3.5</v>
      </c>
      <c r="C144" s="13">
        <f>((($C$3/$B$131/B144))*(($C$4/2)*2*3.1457))*(0.000947)</f>
        <v>36.78752531885126</v>
      </c>
      <c r="D144" s="10">
        <f>(B143*B144)</f>
        <v>13.58</v>
      </c>
      <c r="E144" s="16"/>
      <c r="F144" s="16"/>
    </row>
    <row r="145" spans="1:6" ht="12.75">
      <c r="A145" s="11" t="s">
        <v>13</v>
      </c>
      <c r="B145" s="10">
        <v>1.89</v>
      </c>
      <c r="C145" s="13">
        <f>((($C$3/$B$131/B145))*(($C$4/2)*2*3.1457))*(0.000947)</f>
        <v>68.12504688676158</v>
      </c>
      <c r="D145" s="10">
        <f>(B143*B145)</f>
        <v>7.3332</v>
      </c>
      <c r="E145" s="16">
        <f>ROUND((C144*B143*B145*336)/($C$4),-1)</f>
        <v>3510</v>
      </c>
      <c r="F145" s="16">
        <f>ROUND(((($C$3-E145)/$C$3)*100),0)</f>
        <v>46</v>
      </c>
    </row>
    <row r="146" spans="1:6" ht="12.75">
      <c r="A146" s="11" t="s">
        <v>14</v>
      </c>
      <c r="B146" s="10">
        <v>1.32</v>
      </c>
      <c r="C146" s="13">
        <f>((($C$3/$B$131/B146))*(($C$4/2)*2*3.1457))*(0.000947)</f>
        <v>97.54268076968137</v>
      </c>
      <c r="D146" s="10">
        <f>(B143*B146)</f>
        <v>5.1216</v>
      </c>
      <c r="E146" s="16">
        <f>ROUND((C145*B143*B146*336)/($C$4),-1)</f>
        <v>4540</v>
      </c>
      <c r="F146" s="16">
        <f>ROUND(((($C$3-E146)/$C$3)*100),0)</f>
        <v>30</v>
      </c>
    </row>
    <row r="147" spans="1:6" ht="12.75">
      <c r="A147" s="11" t="s">
        <v>15</v>
      </c>
      <c r="B147" s="10">
        <v>1.07</v>
      </c>
      <c r="C147" s="13">
        <f>((($C$3/$B$131/B147))*(($C$4/2)*2*3.1457))*(0.000947)</f>
        <v>120.33302674390596</v>
      </c>
      <c r="D147" s="10">
        <f>(B143*B147)</f>
        <v>4.1516</v>
      </c>
      <c r="E147" s="16">
        <f>ROUND((C146*B143*B147*336)/($C$4),-1)</f>
        <v>5270</v>
      </c>
      <c r="F147" s="16">
        <f>ROUND(((($C$3-E147)/$C$3)*100),0)</f>
        <v>19</v>
      </c>
    </row>
    <row r="148" spans="1:6" ht="12.75">
      <c r="A148" s="11" t="s">
        <v>16</v>
      </c>
      <c r="B148" s="10">
        <v>0.73</v>
      </c>
      <c r="C148" s="13">
        <f>((($C$3/$B$131/B148))*(($C$4/2)*2*3.1457))*(0.000947)</f>
        <v>176.37854604928688</v>
      </c>
      <c r="D148" s="10">
        <f>(B143*B148)</f>
        <v>2.8324</v>
      </c>
      <c r="E148" s="16">
        <f>ROUND((C147*B143*B148*336)/($C$4),-1)</f>
        <v>4440</v>
      </c>
      <c r="F148" s="16">
        <f>ROUND(((($C$3-E148)/$C$3)*100),0)</f>
        <v>32</v>
      </c>
    </row>
    <row r="149" spans="1:6" ht="12.75">
      <c r="A149" s="11" t="s">
        <v>29</v>
      </c>
      <c r="B149" s="10">
        <v>0.6</v>
      </c>
      <c r="C149" s="15">
        <f>((($C$3/$B$143/B149))*(($C$4/2)*2*3.1457))*(0.000947)</f>
        <v>214.59389769329903</v>
      </c>
      <c r="D149" s="10">
        <f>(B143*B149)</f>
        <v>2.328</v>
      </c>
      <c r="E149" s="16">
        <f>ROUND((C148*B143*B149*336)/($C$4),-1)</f>
        <v>5350</v>
      </c>
      <c r="F149" s="16">
        <f>ROUND(((($C$3-E149)/$C$3)*100),0)</f>
        <v>18</v>
      </c>
    </row>
    <row r="150" spans="1:6" ht="12.75">
      <c r="A150" s="9" t="s">
        <v>17</v>
      </c>
      <c r="B150" s="12"/>
      <c r="C150" s="14">
        <f>($C$5*B143*B149*336)/($C$4)</f>
        <v>2273.860465116279</v>
      </c>
      <c r="D150" s="10"/>
      <c r="E150" s="16"/>
      <c r="F150" s="16"/>
    </row>
  </sheetData>
  <sheetProtection/>
  <printOptions/>
  <pageMargins left="1.25" right="1.25" top="1" bottom="1" header="0.5" footer="0.75"/>
  <pageSetup fitToHeight="5" fitToWidth="1" horizontalDpi="200" verticalDpi="200" orientation="portrait" scale="78" r:id="rId2"/>
  <headerFooter alignWithMargins="0">
    <oddHeader>&amp;CAudi Trans Ratio Chart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06"/>
  <sheetViews>
    <sheetView zoomScalePageLayoutView="0" workbookViewId="0" topLeftCell="A1">
      <selection activeCell="F11" sqref="F11"/>
    </sheetView>
  </sheetViews>
  <sheetFormatPr defaultColWidth="10.00390625" defaultRowHeight="12.75"/>
  <cols>
    <col min="1" max="1" width="25.28125" style="2" customWidth="1"/>
    <col min="2" max="2" width="10.8515625" style="2" customWidth="1"/>
    <col min="3" max="3" width="13.28125" style="2" customWidth="1"/>
    <col min="4" max="4" width="11.00390625" style="2" customWidth="1"/>
    <col min="5" max="5" width="11.140625" style="2" customWidth="1"/>
    <col min="6" max="6" width="11.7109375" style="2" customWidth="1"/>
    <col min="7" max="7" width="10.00390625" style="33" customWidth="1"/>
    <col min="8" max="16384" width="10.00390625" style="2" customWidth="1"/>
  </cols>
  <sheetData>
    <row r="1" spans="1:6" ht="15" customHeight="1">
      <c r="A1" s="3" t="s">
        <v>0</v>
      </c>
      <c r="B1" s="3"/>
      <c r="C1" s="5"/>
      <c r="D1" s="5"/>
      <c r="E1" s="5"/>
      <c r="F1" s="5"/>
    </row>
    <row r="2" spans="1:6" ht="15" customHeight="1">
      <c r="A2" s="3" t="s">
        <v>1</v>
      </c>
      <c r="B2" s="3"/>
      <c r="C2" s="5"/>
      <c r="D2" s="5"/>
      <c r="E2" s="5"/>
      <c r="F2" s="5"/>
    </row>
    <row r="3" spans="1:6" ht="12.75">
      <c r="A3" s="4" t="s">
        <v>2</v>
      </c>
      <c r="B3" s="6"/>
      <c r="C3" s="7">
        <v>6500</v>
      </c>
      <c r="D3" s="7"/>
      <c r="E3" s="7"/>
      <c r="F3" s="7"/>
    </row>
    <row r="4" spans="1:7" ht="12.75">
      <c r="A4" s="4" t="s">
        <v>3</v>
      </c>
      <c r="B4" s="6"/>
      <c r="C4" s="7">
        <v>26.6</v>
      </c>
      <c r="D4" s="7"/>
      <c r="E4" s="7"/>
      <c r="F4" s="7"/>
      <c r="G4" s="35" t="s">
        <v>54</v>
      </c>
    </row>
    <row r="5" spans="1:7" ht="12.75">
      <c r="A5" s="4" t="s">
        <v>4</v>
      </c>
      <c r="B5" s="6"/>
      <c r="C5" s="7">
        <v>75</v>
      </c>
      <c r="D5" s="7"/>
      <c r="E5" s="7"/>
      <c r="F5" s="7"/>
      <c r="G5" s="35" t="s">
        <v>55</v>
      </c>
    </row>
    <row r="7" spans="1:6" ht="12.75">
      <c r="A7" s="9" t="s">
        <v>5</v>
      </c>
      <c r="B7" s="8" t="s">
        <v>6</v>
      </c>
      <c r="C7" s="12"/>
      <c r="D7" s="8" t="s">
        <v>7</v>
      </c>
      <c r="E7" s="17" t="s">
        <v>25</v>
      </c>
      <c r="F7" s="17" t="s">
        <v>27</v>
      </c>
    </row>
    <row r="8" spans="1:6" ht="12.75">
      <c r="A8" s="9"/>
      <c r="B8" s="1" t="s">
        <v>8</v>
      </c>
      <c r="C8" s="1" t="s">
        <v>9</v>
      </c>
      <c r="D8" s="1" t="s">
        <v>10</v>
      </c>
      <c r="E8" s="17">
        <f>$C$3</f>
        <v>6500</v>
      </c>
      <c r="F8" s="17" t="s">
        <v>28</v>
      </c>
    </row>
    <row r="9" spans="1:6" ht="12.75">
      <c r="A9" s="9" t="s">
        <v>11</v>
      </c>
      <c r="B9" s="10">
        <v>4.11</v>
      </c>
      <c r="C9" s="13"/>
      <c r="D9" s="1" t="s">
        <v>8</v>
      </c>
      <c r="E9" s="17" t="s">
        <v>26</v>
      </c>
      <c r="F9" s="17"/>
    </row>
    <row r="10" spans="1:6" ht="12.75">
      <c r="A10" s="9" t="s">
        <v>12</v>
      </c>
      <c r="B10" s="10">
        <v>3.6</v>
      </c>
      <c r="C10" s="13">
        <f>((($C$3/$B$9/B10))*(($C$4/2)*2*3.1457))*(0.000947)</f>
        <v>34.81111644430927</v>
      </c>
      <c r="D10" s="10">
        <f>(B9*B10)</f>
        <v>14.796000000000001</v>
      </c>
      <c r="E10" s="16"/>
      <c r="F10" s="16"/>
    </row>
    <row r="11" spans="1:6" ht="12.75">
      <c r="A11" s="9" t="s">
        <v>13</v>
      </c>
      <c r="B11" s="10">
        <v>2.13</v>
      </c>
      <c r="C11" s="13">
        <f>((($C$3/$B$9/B11))*(($C$4/2)*2*3.1457))*(0.000947)</f>
        <v>58.83568976502976</v>
      </c>
      <c r="D11" s="10">
        <f>(B9*B11)</f>
        <v>8.7543</v>
      </c>
      <c r="E11" s="16">
        <f>ROUND((C10*B9*B11*336)/($C$4),-1)</f>
        <v>3850</v>
      </c>
      <c r="F11" s="16">
        <f>ROUND(((($C$3-E11)/$C$3)*100),0)</f>
        <v>41</v>
      </c>
    </row>
    <row r="12" spans="1:6" ht="12.75">
      <c r="A12" s="9" t="s">
        <v>14</v>
      </c>
      <c r="B12" s="10">
        <v>1.46</v>
      </c>
      <c r="C12" s="13">
        <f>((($C$3/$B$9/B12))*(($C$4/2)*2*3.1457))*(0.000947)</f>
        <v>85.8356295887078</v>
      </c>
      <c r="D12" s="10">
        <f>(B9*B12)</f>
        <v>6.0006</v>
      </c>
      <c r="E12" s="16">
        <f>ROUND((C11*B9*B12*336)/($C$4),-1)</f>
        <v>4460</v>
      </c>
      <c r="F12" s="16">
        <f>ROUND(((($C$3-E12)/$C$3)*100),0)</f>
        <v>31</v>
      </c>
    </row>
    <row r="13" spans="1:6" ht="12.75">
      <c r="A13" s="9" t="s">
        <v>15</v>
      </c>
      <c r="B13" s="10">
        <v>1.07</v>
      </c>
      <c r="C13" s="13">
        <f>((($C$3/$B$9/B13))*(($C$4/2)*2*3.1457))*(0.000947)</f>
        <v>117.12151327057326</v>
      </c>
      <c r="D13" s="10">
        <f>(B9*B13)</f>
        <v>4.3977</v>
      </c>
      <c r="E13" s="16">
        <f>ROUND((C12*B9*B13*336)/($C$4),-1)</f>
        <v>4770</v>
      </c>
      <c r="F13" s="16">
        <f>ROUND(((($C$3-E13)/$C$3)*100),0)</f>
        <v>27</v>
      </c>
    </row>
    <row r="14" spans="1:7" ht="12.75">
      <c r="A14" s="9" t="s">
        <v>16</v>
      </c>
      <c r="B14" s="10">
        <v>0.86</v>
      </c>
      <c r="C14" s="15">
        <f>((($C$3/$B$9/B14))*(($C$4/2)*2*3.1457))*(0.000947)</f>
        <v>145.72095255757372</v>
      </c>
      <c r="D14" s="10">
        <f>(B9*B14)</f>
        <v>3.5346</v>
      </c>
      <c r="E14" s="16">
        <f>ROUND((C13*B9*B14*336)/($C$4),-1)</f>
        <v>5230</v>
      </c>
      <c r="F14" s="16">
        <f>ROUND(((($C$3-E14)/$C$3)*100),0)</f>
        <v>20</v>
      </c>
      <c r="G14" s="33">
        <f>($C$3/C14)*$C$5</f>
        <v>3345.43517211357</v>
      </c>
    </row>
    <row r="15" spans="1:6" ht="12.75">
      <c r="A15" s="9" t="s">
        <v>17</v>
      </c>
      <c r="B15" s="10"/>
      <c r="C15" s="14">
        <f>($C$5*B9*B14*336)/($C$4)</f>
        <v>3348.5684210526306</v>
      </c>
      <c r="D15" s="10"/>
      <c r="E15" s="16"/>
      <c r="F15" s="16"/>
    </row>
    <row r="17" spans="1:6" ht="12.75">
      <c r="A17" s="11" t="s">
        <v>5</v>
      </c>
      <c r="B17" s="1" t="s">
        <v>18</v>
      </c>
      <c r="C17" s="12"/>
      <c r="D17" s="8" t="s">
        <v>7</v>
      </c>
      <c r="E17" s="17" t="s">
        <v>25</v>
      </c>
      <c r="F17" s="17" t="s">
        <v>27</v>
      </c>
    </row>
    <row r="18" spans="1:6" ht="12.75">
      <c r="A18" s="11"/>
      <c r="B18" s="1" t="s">
        <v>8</v>
      </c>
      <c r="C18" s="1" t="s">
        <v>9</v>
      </c>
      <c r="D18" s="1" t="s">
        <v>10</v>
      </c>
      <c r="E18" s="17">
        <f>$C$3</f>
        <v>6500</v>
      </c>
      <c r="F18" s="17" t="s">
        <v>28</v>
      </c>
    </row>
    <row r="19" spans="1:6" ht="12.75">
      <c r="A19" s="11" t="s">
        <v>11</v>
      </c>
      <c r="B19" s="10">
        <v>4.11</v>
      </c>
      <c r="C19" s="13"/>
      <c r="D19" s="1" t="s">
        <v>8</v>
      </c>
      <c r="E19" s="17" t="s">
        <v>26</v>
      </c>
      <c r="F19" s="17"/>
    </row>
    <row r="20" spans="1:6" ht="12.75">
      <c r="A20" s="11" t="s">
        <v>12</v>
      </c>
      <c r="B20" s="10">
        <v>3.6</v>
      </c>
      <c r="C20" s="13">
        <f>((($C$3/$B$19/B20))*(($C$4/2)*2*3.1457))*(0.000947)</f>
        <v>34.81111644430927</v>
      </c>
      <c r="D20" s="10">
        <f>(B19*B20)</f>
        <v>14.796000000000001</v>
      </c>
      <c r="E20" s="16"/>
      <c r="F20" s="16"/>
    </row>
    <row r="21" spans="1:6" ht="12.75">
      <c r="A21" s="11" t="s">
        <v>13</v>
      </c>
      <c r="B21" s="10">
        <v>2.12</v>
      </c>
      <c r="C21" s="13">
        <f>((($C$3/$B$19/B21))*(($C$4/2)*2*3.1457))*(0.000947)</f>
        <v>59.11321660354405</v>
      </c>
      <c r="D21" s="10">
        <f>(B19*B21)</f>
        <v>8.7132</v>
      </c>
      <c r="E21" s="16">
        <f>ROUND((C20*B19*B21*336)/($C$4),-1)</f>
        <v>3830</v>
      </c>
      <c r="F21" s="16">
        <f>ROUND(((($C$3-E21)/$C$3)*100),0)</f>
        <v>41</v>
      </c>
    </row>
    <row r="22" spans="1:6" ht="12.75">
      <c r="A22" s="11" t="s">
        <v>14</v>
      </c>
      <c r="B22" s="10">
        <v>1.45</v>
      </c>
      <c r="C22" s="13">
        <f>((($C$3/$B$19/B22))*(($C$4/2)*2*3.1457))*(0.000947)</f>
        <v>86.42759944794027</v>
      </c>
      <c r="D22" s="10">
        <f>(B19*B22)</f>
        <v>5.9595</v>
      </c>
      <c r="E22" s="16">
        <f>ROUND((C21*B19*B22*336)/($C$4),-1)</f>
        <v>4450</v>
      </c>
      <c r="F22" s="16">
        <f>ROUND(((($C$3-E22)/$C$3)*100),0)</f>
        <v>32</v>
      </c>
    </row>
    <row r="23" spans="1:6" ht="12.75">
      <c r="A23" s="11" t="s">
        <v>15</v>
      </c>
      <c r="B23" s="10">
        <v>1.02</v>
      </c>
      <c r="C23" s="13">
        <f>((($C$3/$B$19/B23))*(($C$4/2)*2*3.1457))*(0.000947)</f>
        <v>122.86276392109156</v>
      </c>
      <c r="D23" s="10">
        <f>(B19*B23)</f>
        <v>4.192200000000001</v>
      </c>
      <c r="E23" s="16">
        <f>ROUND((C22*B19*B23*336)/($C$4),-1)</f>
        <v>4580</v>
      </c>
      <c r="F23" s="16">
        <f>ROUND(((($C$3-E23)/$C$3)*100),0)</f>
        <v>30</v>
      </c>
    </row>
    <row r="24" spans="1:7" ht="12.75">
      <c r="A24" s="11" t="s">
        <v>16</v>
      </c>
      <c r="B24" s="10">
        <v>0.85</v>
      </c>
      <c r="C24" s="15">
        <f>((($C$3/$B$19/B24))*(($C$4/2)*2*3.1457))*(0.000947)</f>
        <v>147.43531670530987</v>
      </c>
      <c r="D24" s="10">
        <f>(B19*B24)</f>
        <v>3.4935</v>
      </c>
      <c r="E24" s="16">
        <f>ROUND((C23*B19*B24*336)/($C$4),-1)</f>
        <v>5420</v>
      </c>
      <c r="F24" s="16">
        <f>ROUND(((($C$3-E24)/$C$3)*100),0)</f>
        <v>17</v>
      </c>
      <c r="G24" s="33">
        <f>($C$3/C24)*$C$5</f>
        <v>3306.5347631355057</v>
      </c>
    </row>
    <row r="25" spans="1:6" ht="12.75">
      <c r="A25" s="9" t="s">
        <v>17</v>
      </c>
      <c r="B25" s="12"/>
      <c r="C25" s="14">
        <f>($C$5*B19*B24*336)/($C$4)</f>
        <v>3309.6315789473683</v>
      </c>
      <c r="D25" s="10"/>
      <c r="E25" s="16"/>
      <c r="F25" s="16"/>
    </row>
    <row r="27" spans="1:6" ht="12.75">
      <c r="A27" s="9" t="s">
        <v>5</v>
      </c>
      <c r="B27" s="8" t="s">
        <v>19</v>
      </c>
      <c r="C27" s="12"/>
      <c r="D27" s="8" t="s">
        <v>7</v>
      </c>
      <c r="E27" s="17" t="s">
        <v>25</v>
      </c>
      <c r="F27" s="17" t="s">
        <v>27</v>
      </c>
    </row>
    <row r="28" spans="1:6" ht="12.75">
      <c r="A28" s="9"/>
      <c r="B28" s="1" t="s">
        <v>8</v>
      </c>
      <c r="C28" s="1" t="s">
        <v>9</v>
      </c>
      <c r="D28" s="1" t="s">
        <v>10</v>
      </c>
      <c r="E28" s="17">
        <f>$C$3</f>
        <v>6500</v>
      </c>
      <c r="F28" s="17" t="s">
        <v>28</v>
      </c>
    </row>
    <row r="29" spans="1:6" ht="12.75">
      <c r="A29" s="9" t="s">
        <v>11</v>
      </c>
      <c r="B29" s="10">
        <v>3.89</v>
      </c>
      <c r="C29" s="13"/>
      <c r="D29" s="1" t="s">
        <v>8</v>
      </c>
      <c r="E29" s="17" t="s">
        <v>26</v>
      </c>
      <c r="F29" s="17"/>
    </row>
    <row r="30" spans="1:6" ht="12.75">
      <c r="A30" s="9" t="s">
        <v>12</v>
      </c>
      <c r="B30" s="10">
        <v>3.6</v>
      </c>
      <c r="C30" s="13">
        <f>((($C$3/$B$29/B30))*(($C$4/2)*2*3.1457))*(0.000947)</f>
        <v>36.77986853113397</v>
      </c>
      <c r="D30" s="10">
        <f>(B29*B30)</f>
        <v>14.004000000000001</v>
      </c>
      <c r="E30" s="16"/>
      <c r="F30" s="16"/>
    </row>
    <row r="31" spans="1:6" ht="12.75">
      <c r="A31" s="9" t="s">
        <v>13</v>
      </c>
      <c r="B31" s="10">
        <v>2.13</v>
      </c>
      <c r="C31" s="13">
        <f>((($C$3/$B$29/B31))*(($C$4/2)*2*3.1457))*(0.000947)</f>
        <v>62.1631580807898</v>
      </c>
      <c r="D31" s="10">
        <f>(B29*B31)</f>
        <v>8.2857</v>
      </c>
      <c r="E31" s="16">
        <f>ROUND((C30*B29*B31*336)/($C$4),-1)</f>
        <v>3850</v>
      </c>
      <c r="F31" s="16">
        <f>ROUND(((($C$3-E31)/$C$3)*100),0)</f>
        <v>41</v>
      </c>
    </row>
    <row r="32" spans="1:6" ht="12.75">
      <c r="A32" s="9" t="s">
        <v>14</v>
      </c>
      <c r="B32" s="10">
        <v>1.46</v>
      </c>
      <c r="C32" s="13">
        <f>((($C$3/$B$29/B32))*(($C$4/2)*2*3.1457))*(0.000947)</f>
        <v>90.69008678909745</v>
      </c>
      <c r="D32" s="10">
        <f>(B29*B32)</f>
        <v>5.6794</v>
      </c>
      <c r="E32" s="16">
        <f>ROUND((C31*B29*B32*336)/($C$4),-1)</f>
        <v>4460</v>
      </c>
      <c r="F32" s="16">
        <f>ROUND(((($C$3-E32)/$C$3)*100),0)</f>
        <v>31</v>
      </c>
    </row>
    <row r="33" spans="1:6" ht="12.75">
      <c r="A33" s="9" t="s">
        <v>15</v>
      </c>
      <c r="B33" s="10">
        <v>1.07</v>
      </c>
      <c r="C33" s="13">
        <f>((($C$3/$B$29/B33))*(($C$4/2)*2*3.1457))*(0.000947)</f>
        <v>123.74535206736661</v>
      </c>
      <c r="D33" s="10">
        <f>(B29*B33)</f>
        <v>4.1623</v>
      </c>
      <c r="E33" s="16">
        <f>ROUND((C32*B29*B33*336)/($C$4),-1)</f>
        <v>4770</v>
      </c>
      <c r="F33" s="16">
        <f>ROUND(((($C$3-E33)/$C$3)*100),0)</f>
        <v>27</v>
      </c>
    </row>
    <row r="34" spans="1:7" ht="12.75">
      <c r="A34" s="9" t="s">
        <v>16</v>
      </c>
      <c r="B34" s="10">
        <v>0.86</v>
      </c>
      <c r="C34" s="15">
        <f>((($C$3/$B$29/B34))*(($C$4/2)*2*3.1457))*(0.000947)</f>
        <v>153.96224036288638</v>
      </c>
      <c r="D34" s="10">
        <f>(B29*B34)</f>
        <v>3.3454</v>
      </c>
      <c r="E34" s="16">
        <f>ROUND((C33*B29*B34*336)/($C$4),-1)</f>
        <v>5230</v>
      </c>
      <c r="F34" s="16">
        <f>ROUND(((($C$3-E34)/$C$3)*100),0)</f>
        <v>20</v>
      </c>
      <c r="G34" s="33">
        <f>($C$3/C34)*$C$5</f>
        <v>3166.360783338634</v>
      </c>
    </row>
    <row r="35" spans="1:6" ht="12.75">
      <c r="A35" s="9" t="s">
        <v>17</v>
      </c>
      <c r="B35" s="10"/>
      <c r="C35" s="14">
        <f>($C$5*B29*B34*336)/($C$4)</f>
        <v>3169.3263157894735</v>
      </c>
      <c r="D35" s="10"/>
      <c r="E35" s="16"/>
      <c r="F35" s="16"/>
    </row>
    <row r="37" spans="1:6" ht="12.75">
      <c r="A37" s="11" t="s">
        <v>5</v>
      </c>
      <c r="B37" s="1" t="s">
        <v>41</v>
      </c>
      <c r="C37" s="12"/>
      <c r="D37" s="8" t="s">
        <v>7</v>
      </c>
      <c r="E37" s="17" t="s">
        <v>25</v>
      </c>
      <c r="F37" s="17" t="s">
        <v>27</v>
      </c>
    </row>
    <row r="38" spans="1:6" ht="12.75">
      <c r="A38" s="11"/>
      <c r="B38" s="1" t="s">
        <v>8</v>
      </c>
      <c r="C38" s="1" t="s">
        <v>9</v>
      </c>
      <c r="D38" s="1" t="s">
        <v>10</v>
      </c>
      <c r="E38" s="17">
        <f>$C$3</f>
        <v>6500</v>
      </c>
      <c r="F38" s="17" t="s">
        <v>28</v>
      </c>
    </row>
    <row r="39" spans="1:6" ht="12.75">
      <c r="A39" s="11" t="s">
        <v>11</v>
      </c>
      <c r="B39" s="10">
        <v>4.77</v>
      </c>
      <c r="C39" s="13"/>
      <c r="D39" s="1" t="s">
        <v>8</v>
      </c>
      <c r="E39" s="17" t="s">
        <v>26</v>
      </c>
      <c r="F39" s="17"/>
    </row>
    <row r="40" spans="1:6" ht="12.75">
      <c r="A40" s="11" t="s">
        <v>12</v>
      </c>
      <c r="B40" s="10">
        <v>3.6</v>
      </c>
      <c r="C40" s="13">
        <f>((($C$3/B39/B40))*(($C$4/2)*2*3.1457))*(0.000947)</f>
        <v>29.9944839803168</v>
      </c>
      <c r="D40" s="10">
        <f>(B39*B40)</f>
        <v>17.172</v>
      </c>
      <c r="E40" s="16"/>
      <c r="F40" s="16"/>
    </row>
    <row r="41" spans="1:6" ht="12.75">
      <c r="A41" s="11" t="s">
        <v>13</v>
      </c>
      <c r="B41" s="10">
        <v>1.88</v>
      </c>
      <c r="C41" s="13">
        <f>((($C$3/B39/B41))*(($C$4/2)*2*3.1457))*(0.000947)</f>
        <v>57.436245919755585</v>
      </c>
      <c r="D41" s="10">
        <f>(B39*B41)</f>
        <v>8.9676</v>
      </c>
      <c r="E41" s="16">
        <f>ROUND((C40*B39*B41*336)/($C$4),-1)</f>
        <v>3400</v>
      </c>
      <c r="F41" s="16">
        <f>ROUND(((($C$3-E41)/$C$3)*100),0)</f>
        <v>48</v>
      </c>
    </row>
    <row r="42" spans="1:6" ht="12.75">
      <c r="A42" s="11" t="s">
        <v>14</v>
      </c>
      <c r="B42" s="10">
        <v>1.19</v>
      </c>
      <c r="C42" s="13">
        <f>((($C$3/B39/B42))*(($C$4/2)*2*3.1457))*(0.000947)</f>
        <v>90.73961540263907</v>
      </c>
      <c r="D42" s="10">
        <f>(B39*B42)</f>
        <v>5.6762999999999995</v>
      </c>
      <c r="E42" s="16">
        <f>ROUND((C41*B39*B42*336)/($C$4),-1)</f>
        <v>4120</v>
      </c>
      <c r="F42" s="16">
        <f>ROUND(((($C$3-E42)/$C$3)*100),0)</f>
        <v>37</v>
      </c>
    </row>
    <row r="43" spans="1:6" ht="12.75">
      <c r="A43" s="11" t="s">
        <v>15</v>
      </c>
      <c r="B43" s="10">
        <v>0.84</v>
      </c>
      <c r="C43" s="13">
        <f>((($C$3/B39/B43))*(($C$4/2)*2*3.1457))*(0.000947)</f>
        <v>128.547788487072</v>
      </c>
      <c r="D43" s="10">
        <f>(B39*B43)</f>
        <v>4.006799999999999</v>
      </c>
      <c r="E43" s="16">
        <f>ROUND((C42*B39*B43*336)/($C$4),-1)</f>
        <v>4590</v>
      </c>
      <c r="F43" s="16">
        <f>ROUND(((($C$3-E43)/$C$3)*100),0)</f>
        <v>29</v>
      </c>
    </row>
    <row r="44" spans="1:7" ht="12.75">
      <c r="A44" s="11" t="s">
        <v>16</v>
      </c>
      <c r="B44" s="10">
        <v>0.68</v>
      </c>
      <c r="C44" s="15">
        <f>((($C$3/B39/B44))*(($C$4/2)*2*3.1457))*(0.000947)</f>
        <v>158.79432695461836</v>
      </c>
      <c r="D44" s="10">
        <f>(B39*B44)</f>
        <v>3.2436</v>
      </c>
      <c r="E44" s="16">
        <f>ROUND((C43*B39*B44*336)/($C$4),-1)</f>
        <v>5270</v>
      </c>
      <c r="F44" s="16">
        <f>ROUND(((($C$3-E44)/$C$3)*100),0)</f>
        <v>19</v>
      </c>
      <c r="G44" s="33">
        <f>($C$3/C44)*$C$5</f>
        <v>3070.008918765228</v>
      </c>
    </row>
    <row r="45" spans="1:6" ht="12.75">
      <c r="A45" s="9" t="s">
        <v>17</v>
      </c>
      <c r="B45" s="12"/>
      <c r="C45" s="14">
        <f>($C$5*B39*B44*336)/($C$4)</f>
        <v>3072.8842105263157</v>
      </c>
      <c r="D45" s="10"/>
      <c r="E45" s="16"/>
      <c r="F45" s="16"/>
    </row>
    <row r="46" spans="1:6" ht="12.75">
      <c r="A46" s="9"/>
      <c r="B46" s="10"/>
      <c r="C46" s="14"/>
      <c r="D46" s="10"/>
      <c r="E46" s="16"/>
      <c r="F46" s="16"/>
    </row>
    <row r="48" spans="1:6" ht="12.75">
      <c r="A48" s="9" t="s">
        <v>5</v>
      </c>
      <c r="B48" s="8" t="s">
        <v>20</v>
      </c>
      <c r="C48" s="12"/>
      <c r="D48" s="8" t="s">
        <v>7</v>
      </c>
      <c r="E48" s="17" t="s">
        <v>25</v>
      </c>
      <c r="F48" s="17" t="s">
        <v>27</v>
      </c>
    </row>
    <row r="49" spans="1:6" ht="12.75">
      <c r="A49" s="11"/>
      <c r="B49" s="1" t="s">
        <v>8</v>
      </c>
      <c r="C49" s="1" t="s">
        <v>9</v>
      </c>
      <c r="D49" s="1" t="s">
        <v>10</v>
      </c>
      <c r="E49" s="17">
        <f>$C$3</f>
        <v>6500</v>
      </c>
      <c r="F49" s="17" t="s">
        <v>28</v>
      </c>
    </row>
    <row r="50" spans="1:6" ht="12.75">
      <c r="A50" s="11" t="s">
        <v>11</v>
      </c>
      <c r="B50" s="10">
        <v>3.89</v>
      </c>
      <c r="C50" s="13"/>
      <c r="D50" s="1" t="s">
        <v>8</v>
      </c>
      <c r="E50" s="17" t="s">
        <v>26</v>
      </c>
      <c r="F50" s="17"/>
    </row>
    <row r="51" spans="1:6" ht="12.75">
      <c r="A51" s="11" t="s">
        <v>12</v>
      </c>
      <c r="B51" s="10">
        <v>3.6</v>
      </c>
      <c r="C51" s="13">
        <f>((($C$3/$B$50/B51))*(($C$4/2)*2*3.1457))*(0.000947)</f>
        <v>36.77986853113397</v>
      </c>
      <c r="D51" s="10">
        <f>(B50*B51)</f>
        <v>14.004000000000001</v>
      </c>
      <c r="E51" s="16"/>
      <c r="F51" s="16"/>
    </row>
    <row r="52" spans="1:6" ht="12.75">
      <c r="A52" s="11" t="s">
        <v>13</v>
      </c>
      <c r="B52" s="10">
        <v>2.13</v>
      </c>
      <c r="C52" s="13">
        <f>((($C$3/$B$50/B52))*(($C$4/2)*2*3.1457))*(0.000947)</f>
        <v>62.1631580807898</v>
      </c>
      <c r="D52" s="10">
        <f>(B50*B52)</f>
        <v>8.2857</v>
      </c>
      <c r="E52" s="16">
        <f>ROUND((C51*B50*B52*336)/($C$4),-1)</f>
        <v>3850</v>
      </c>
      <c r="F52" s="16">
        <f>ROUND(((($C$3-E52)/$C$3)*100),0)</f>
        <v>41</v>
      </c>
    </row>
    <row r="53" spans="1:6" ht="12.75">
      <c r="A53" s="11" t="s">
        <v>14</v>
      </c>
      <c r="B53" s="10">
        <v>1.46</v>
      </c>
      <c r="C53" s="13">
        <f>((($C$3/$B$50/B53))*(($C$4/2)*2*3.1457))*(0.000947)</f>
        <v>90.69008678909745</v>
      </c>
      <c r="D53" s="10">
        <f>(B50*B53)</f>
        <v>5.6794</v>
      </c>
      <c r="E53" s="16">
        <f>ROUND((C52*B50*B53*336)/($C$4),-1)</f>
        <v>4460</v>
      </c>
      <c r="F53" s="16">
        <f>ROUND(((($C$3-E53)/$C$3)*100),0)</f>
        <v>31</v>
      </c>
    </row>
    <row r="54" spans="1:6" ht="12.75">
      <c r="A54" s="11" t="s">
        <v>15</v>
      </c>
      <c r="B54" s="10">
        <v>1.07</v>
      </c>
      <c r="C54" s="13">
        <f>((($C$3/$B$50/B54))*(($C$4/2)*2*3.1457))*(0.000947)</f>
        <v>123.74535206736661</v>
      </c>
      <c r="D54" s="10">
        <f>(B50*B54)</f>
        <v>4.1623</v>
      </c>
      <c r="E54" s="16">
        <f>ROUND((C53*B50*B54*336)/($C$4),-1)</f>
        <v>4770</v>
      </c>
      <c r="F54" s="16">
        <f>ROUND(((($C$3-E54)/$C$3)*100),0)</f>
        <v>27</v>
      </c>
    </row>
    <row r="55" spans="1:7" ht="12.75">
      <c r="A55" s="11" t="s">
        <v>16</v>
      </c>
      <c r="B55" s="10">
        <v>0.83</v>
      </c>
      <c r="C55" s="15">
        <f>((($C$3/$B$50/B55))*(($C$4/2)*2*3.1457))*(0.000947)</f>
        <v>159.52714061696662</v>
      </c>
      <c r="D55" s="10">
        <f>(B50*B55)</f>
        <v>3.2287</v>
      </c>
      <c r="E55" s="16">
        <f>ROUND((C54*B50*B55*336)/($C$4),-1)</f>
        <v>5050</v>
      </c>
      <c r="F55" s="16">
        <f>ROUND(((($C$3-E55)/$C$3)*100),0)</f>
        <v>22</v>
      </c>
      <c r="G55" s="33">
        <f>($C$3/C55)*$C$5</f>
        <v>3055.9063374082166</v>
      </c>
    </row>
    <row r="56" spans="1:6" ht="12.75">
      <c r="A56" s="9" t="s">
        <v>17</v>
      </c>
      <c r="B56" s="10"/>
      <c r="C56" s="14">
        <f>($C$5*B50*B55*336)/($C$4)</f>
        <v>3058.768421052631</v>
      </c>
      <c r="D56" s="10"/>
      <c r="E56" s="16"/>
      <c r="F56" s="16"/>
    </row>
    <row r="57" spans="1:7" s="28" customFormat="1" ht="12.75">
      <c r="A57" s="30"/>
      <c r="B57" s="26"/>
      <c r="C57" s="31"/>
      <c r="D57" s="26"/>
      <c r="G57" s="34"/>
    </row>
    <row r="58" spans="1:6" ht="12.75">
      <c r="A58" s="11" t="s">
        <v>5</v>
      </c>
      <c r="B58" s="1" t="s">
        <v>52</v>
      </c>
      <c r="C58" s="12"/>
      <c r="D58" s="8" t="s">
        <v>7</v>
      </c>
      <c r="E58" s="17" t="s">
        <v>25</v>
      </c>
      <c r="F58" s="17" t="s">
        <v>27</v>
      </c>
    </row>
    <row r="59" spans="1:6" ht="12.75">
      <c r="A59" s="11"/>
      <c r="B59" s="1" t="s">
        <v>8</v>
      </c>
      <c r="C59" s="1" t="s">
        <v>9</v>
      </c>
      <c r="D59" s="1" t="s">
        <v>10</v>
      </c>
      <c r="E59" s="17">
        <f>$C$3</f>
        <v>6500</v>
      </c>
      <c r="F59" s="17" t="s">
        <v>28</v>
      </c>
    </row>
    <row r="60" spans="1:6" ht="12.75">
      <c r="A60" s="11" t="s">
        <v>11</v>
      </c>
      <c r="B60" s="10">
        <v>4.56</v>
      </c>
      <c r="C60" s="13"/>
      <c r="D60" s="1" t="s">
        <v>8</v>
      </c>
      <c r="E60" s="17" t="s">
        <v>26</v>
      </c>
      <c r="F60" s="17"/>
    </row>
    <row r="61" spans="1:6" ht="12.75">
      <c r="A61" s="11" t="s">
        <v>12</v>
      </c>
      <c r="B61" s="10">
        <v>3.6</v>
      </c>
      <c r="C61" s="13">
        <f>((($C$3/$B$60/B61))*(($C$4/2)*2*3.1457))*(0.000947)</f>
        <v>31.37580890046297</v>
      </c>
      <c r="D61" s="10">
        <f>(B60*B61)</f>
        <v>16.416</v>
      </c>
      <c r="E61" s="16"/>
      <c r="F61" s="16"/>
    </row>
    <row r="62" spans="1:6" ht="12.75">
      <c r="A62" s="11" t="s">
        <v>13</v>
      </c>
      <c r="B62" s="10">
        <v>1.88</v>
      </c>
      <c r="C62" s="13">
        <f>((($C$3/$B$60/B62))*(($C$4/2)*2*3.1457))*(0.000947)</f>
        <v>60.08133619237591</v>
      </c>
      <c r="D62" s="10">
        <f>(B60*B62)</f>
        <v>8.572799999999999</v>
      </c>
      <c r="E62" s="16">
        <f>ROUND((C61*B60*B62*336)/($C$4),-1)</f>
        <v>3400</v>
      </c>
      <c r="F62" s="16">
        <f>ROUND(((($C$3-E62)/$C$3)*100),0)</f>
        <v>48</v>
      </c>
    </row>
    <row r="63" spans="1:6" ht="12.75">
      <c r="A63" s="11" t="s">
        <v>14</v>
      </c>
      <c r="B63" s="10">
        <v>1.19</v>
      </c>
      <c r="C63" s="13">
        <f>((($C$3/$B$60/B63))*(($C$4/2)*2*3.1457))*(0.000947)</f>
        <v>94.91841348039219</v>
      </c>
      <c r="D63" s="10">
        <f>(B60*B63)</f>
        <v>5.426399999999999</v>
      </c>
      <c r="E63" s="16">
        <f>ROUND((C62*B60*B63*336)/($C$4),-1)</f>
        <v>4120</v>
      </c>
      <c r="F63" s="16">
        <f>ROUND(((($C$3-E63)/$C$3)*100),0)</f>
        <v>37</v>
      </c>
    </row>
    <row r="64" spans="1:6" ht="12.75">
      <c r="A64" s="11" t="s">
        <v>15</v>
      </c>
      <c r="B64" s="10">
        <v>0.84</v>
      </c>
      <c r="C64" s="13">
        <f>((($C$3/$B$60/B64))*(($C$4/2)*2*3.1457))*(0.000947)</f>
        <v>134.46775243055558</v>
      </c>
      <c r="D64" s="10">
        <f>(B60*B64)</f>
        <v>3.8303999999999996</v>
      </c>
      <c r="E64" s="16">
        <f>ROUND((C63*B60*B64*336)/($C$4),-1)</f>
        <v>4590</v>
      </c>
      <c r="F64" s="16">
        <f>ROUND(((($C$3-E64)/$C$3)*100),0)</f>
        <v>29</v>
      </c>
    </row>
    <row r="65" spans="1:7" ht="12.75">
      <c r="A65" s="11" t="s">
        <v>16</v>
      </c>
      <c r="B65" s="10">
        <v>0.68</v>
      </c>
      <c r="C65" s="15">
        <f>((($C$3/$B$60/B65))*(($C$4/2)*2*3.1457))*(0.000947)</f>
        <v>166.10722359068632</v>
      </c>
      <c r="D65" s="10">
        <f>(B60*B65)</f>
        <v>3.1008</v>
      </c>
      <c r="E65" s="16">
        <f>ROUND((C64*B60*B65*336)/($C$4),-1)</f>
        <v>5270</v>
      </c>
      <c r="F65" s="16">
        <f>ROUND(((($C$3-E65)/$C$3)*100),0)</f>
        <v>19</v>
      </c>
      <c r="G65" s="33">
        <f>($C$3/C65)*$C$5</f>
        <v>2934.8512934107835</v>
      </c>
    </row>
    <row r="66" spans="1:6" ht="12.75">
      <c r="A66" s="9" t="s">
        <v>17</v>
      </c>
      <c r="B66" s="12"/>
      <c r="C66" s="14">
        <f>($C$5*B60*B65*336)/($C$4)</f>
        <v>2937.5999999999995</v>
      </c>
      <c r="D66" s="10"/>
      <c r="E66" s="16"/>
      <c r="F66" s="16"/>
    </row>
    <row r="68" spans="1:6" ht="12.75">
      <c r="A68" s="11" t="s">
        <v>5</v>
      </c>
      <c r="B68" s="1" t="s">
        <v>50</v>
      </c>
      <c r="C68" s="12"/>
      <c r="D68" s="8" t="s">
        <v>7</v>
      </c>
      <c r="E68" s="17" t="s">
        <v>25</v>
      </c>
      <c r="F68" s="17" t="s">
        <v>27</v>
      </c>
    </row>
    <row r="69" spans="1:6" ht="12.75">
      <c r="A69" s="19"/>
      <c r="B69" s="1" t="s">
        <v>8</v>
      </c>
      <c r="C69" s="1" t="s">
        <v>9</v>
      </c>
      <c r="D69" s="1" t="s">
        <v>10</v>
      </c>
      <c r="E69" s="17">
        <f>$C$3</f>
        <v>6500</v>
      </c>
      <c r="F69" s="17" t="s">
        <v>28</v>
      </c>
    </row>
    <row r="70" spans="1:6" ht="12.75">
      <c r="A70" s="11" t="s">
        <v>11</v>
      </c>
      <c r="B70" s="10">
        <v>3.89</v>
      </c>
      <c r="C70" s="13"/>
      <c r="D70" s="1" t="s">
        <v>8</v>
      </c>
      <c r="E70" s="17" t="s">
        <v>26</v>
      </c>
      <c r="F70" s="17"/>
    </row>
    <row r="71" spans="1:6" ht="12.75">
      <c r="A71" s="11" t="s">
        <v>12</v>
      </c>
      <c r="B71" s="10">
        <v>3.6</v>
      </c>
      <c r="C71" s="13">
        <f>((($C$3/$B$70/B71))*(($C$4/2)*2*3.1457))*(0.000947)</f>
        <v>36.77986853113397</v>
      </c>
      <c r="D71" s="10">
        <f>(B70*B71)</f>
        <v>14.004000000000001</v>
      </c>
      <c r="E71" s="16"/>
      <c r="F71" s="16"/>
    </row>
    <row r="72" spans="1:6" ht="12.75">
      <c r="A72" s="11" t="s">
        <v>13</v>
      </c>
      <c r="B72" s="10">
        <v>2.125</v>
      </c>
      <c r="C72" s="13">
        <f>((($C$3/$B$70/B72))*(($C$4/2)*2*3.1457))*(0.000947)</f>
        <v>62.309424335097546</v>
      </c>
      <c r="D72" s="10">
        <f>(B70*B72)</f>
        <v>8.26625</v>
      </c>
      <c r="E72" s="16">
        <f>ROUND((C71*B70*B72*336)/($C$4),-1)</f>
        <v>3840</v>
      </c>
      <c r="F72" s="16">
        <f>ROUND(((($C$3-E72)/$C$3)*100),0)</f>
        <v>41</v>
      </c>
    </row>
    <row r="73" spans="1:6" ht="12.75">
      <c r="A73" s="11" t="s">
        <v>14</v>
      </c>
      <c r="B73" s="10">
        <v>1.36</v>
      </c>
      <c r="C73" s="13">
        <f>((($C$3/$B$70/B73))*(($C$4/2)*2*3.1457))*(0.000947)</f>
        <v>97.3584755235899</v>
      </c>
      <c r="D73" s="10">
        <f>(B70*B73)</f>
        <v>5.290400000000001</v>
      </c>
      <c r="E73" s="16">
        <f>ROUND((C72*B70*B73*336)/($C$4),-1)</f>
        <v>4160</v>
      </c>
      <c r="F73" s="16">
        <f>ROUND(((($C$3-E73)/$C$3)*100),0)</f>
        <v>36</v>
      </c>
    </row>
    <row r="74" spans="1:6" ht="12.75">
      <c r="A74" s="11" t="s">
        <v>15</v>
      </c>
      <c r="B74" s="10">
        <v>0.97</v>
      </c>
      <c r="C74" s="13">
        <f>((($C$3/$B$70/B74))*(($C$4/2)*2*3.1457))*(0.000947)</f>
        <v>136.5026048578168</v>
      </c>
      <c r="D74" s="10">
        <f>(B70*B74)</f>
        <v>3.7733</v>
      </c>
      <c r="E74" s="16">
        <f>ROUND((C73*B70*B74*336)/($C$4),-1)</f>
        <v>4640</v>
      </c>
      <c r="F74" s="16">
        <f>ROUND(((($C$3-E74)/$C$3)*100),0)</f>
        <v>29</v>
      </c>
    </row>
    <row r="75" spans="1:7" ht="12.75">
      <c r="A75" s="11" t="s">
        <v>16</v>
      </c>
      <c r="B75" s="10">
        <v>0.78</v>
      </c>
      <c r="C75" s="14">
        <f>((($C$3/$B$70/B75))*(($C$4/2)*2*3.1457))*(0.000947)</f>
        <v>169.75323937446447</v>
      </c>
      <c r="D75" s="10">
        <f>(B70*B75)</f>
        <v>3.0342000000000002</v>
      </c>
      <c r="E75" s="16">
        <f>ROUND((C74*B70*B75*336)/($C$4),-1)</f>
        <v>5230</v>
      </c>
      <c r="F75" s="16">
        <f>ROUND(((($C$3-E75)/$C$3)*100),0)</f>
        <v>20</v>
      </c>
      <c r="G75" s="33">
        <f>($C$3/C75)*$C$5</f>
        <v>2871.8155941908544</v>
      </c>
    </row>
    <row r="76" spans="1:6" ht="12.75">
      <c r="A76" s="9" t="s">
        <v>17</v>
      </c>
      <c r="B76" s="12"/>
      <c r="C76" s="14">
        <f>($C$5*B70*B75*336)/($C$4)</f>
        <v>2874.5052631578947</v>
      </c>
      <c r="D76" s="10"/>
      <c r="E76" s="16"/>
      <c r="F76" s="16"/>
    </row>
    <row r="78" spans="1:6" ht="12.75">
      <c r="A78" s="9" t="s">
        <v>5</v>
      </c>
      <c r="B78" s="1" t="s">
        <v>21</v>
      </c>
      <c r="C78" s="12"/>
      <c r="D78" s="8" t="s">
        <v>7</v>
      </c>
      <c r="E78" s="17" t="s">
        <v>25</v>
      </c>
      <c r="F78" s="17" t="s">
        <v>27</v>
      </c>
    </row>
    <row r="79" spans="1:6" ht="12.75">
      <c r="A79" s="9"/>
      <c r="B79" s="1" t="s">
        <v>8</v>
      </c>
      <c r="C79" s="1" t="s">
        <v>9</v>
      </c>
      <c r="D79" s="1" t="s">
        <v>10</v>
      </c>
      <c r="E79" s="17">
        <f>$C$3</f>
        <v>6500</v>
      </c>
      <c r="F79" s="17" t="s">
        <v>28</v>
      </c>
    </row>
    <row r="80" spans="1:6" ht="12.75">
      <c r="A80" s="9" t="s">
        <v>11</v>
      </c>
      <c r="B80" s="10">
        <v>4.11</v>
      </c>
      <c r="C80" s="13"/>
      <c r="D80" s="1" t="s">
        <v>8</v>
      </c>
      <c r="E80" s="17" t="s">
        <v>26</v>
      </c>
      <c r="F80" s="17"/>
    </row>
    <row r="81" spans="1:6" ht="12.75">
      <c r="A81" s="9" t="s">
        <v>12</v>
      </c>
      <c r="B81" s="10">
        <v>3.6</v>
      </c>
      <c r="C81" s="13">
        <f>((($C$3/$B$80/B81))*(($C$4/2)*2*3.1457))*(0.000947)</f>
        <v>34.81111644430927</v>
      </c>
      <c r="D81" s="10">
        <f>(B80*B81)</f>
        <v>14.796000000000001</v>
      </c>
      <c r="E81" s="16"/>
      <c r="F81" s="16"/>
    </row>
    <row r="82" spans="1:6" ht="12.75">
      <c r="A82" s="9" t="s">
        <v>13</v>
      </c>
      <c r="B82" s="10">
        <v>2.13</v>
      </c>
      <c r="C82" s="13">
        <f>((($C$3/$B$80/B82))*(($C$4/2)*2*3.1457))*(0.000947)</f>
        <v>58.83568976502976</v>
      </c>
      <c r="D82" s="10">
        <f>(B80*B82)</f>
        <v>8.7543</v>
      </c>
      <c r="E82" s="16">
        <f>ROUND((C81*B80*B82*336)/($C$4),-1)</f>
        <v>3850</v>
      </c>
      <c r="F82" s="16">
        <f>ROUND(((($C$3-E82)/$C$3)*100),0)</f>
        <v>41</v>
      </c>
    </row>
    <row r="83" spans="1:6" ht="12.75">
      <c r="A83" s="9" t="s">
        <v>14</v>
      </c>
      <c r="B83" s="10">
        <v>1.36</v>
      </c>
      <c r="C83" s="13">
        <f>((($C$3/$B$80/B83))*(($C$4/2)*2*3.1457))*(0.000947)</f>
        <v>92.14707294081867</v>
      </c>
      <c r="D83" s="10">
        <f>(B80*B83)</f>
        <v>5.589600000000001</v>
      </c>
      <c r="E83" s="16">
        <f>ROUND((C82*B80*B83*336)/($C$4),-1)</f>
        <v>4150</v>
      </c>
      <c r="F83" s="16">
        <f>ROUND(((($C$3-E83)/$C$3)*100),0)</f>
        <v>36</v>
      </c>
    </row>
    <row r="84" spans="1:6" ht="12.75">
      <c r="A84" s="9" t="s">
        <v>15</v>
      </c>
      <c r="B84" s="10">
        <v>0.97</v>
      </c>
      <c r="C84" s="13">
        <f>((($C$3/$B$80/B84))*(($C$4/2)*2*3.1457))*(0.000947)</f>
        <v>129.19589608197256</v>
      </c>
      <c r="D84" s="10">
        <f>(B80*B84)</f>
        <v>3.9867000000000004</v>
      </c>
      <c r="E84" s="16">
        <f>ROUND((C83*B80*B84*336)/($C$4),-1)</f>
        <v>4640</v>
      </c>
      <c r="F84" s="16">
        <f>ROUND(((($C$3-E84)/$C$3)*100),0)</f>
        <v>29</v>
      </c>
    </row>
    <row r="85" spans="1:7" ht="12.75">
      <c r="A85" s="9" t="s">
        <v>16</v>
      </c>
      <c r="B85" s="10">
        <v>0.73</v>
      </c>
      <c r="C85" s="15">
        <f>((($C$3/$B$80/B85))*(($C$4/2)*2*3.1457))*(0.000947)</f>
        <v>171.6712591774156</v>
      </c>
      <c r="D85" s="10">
        <f>(B80*B85)</f>
        <v>3.0003</v>
      </c>
      <c r="E85" s="16">
        <f>ROUND((C84*B80*B85*336)/($C$4),-1)</f>
        <v>4900</v>
      </c>
      <c r="F85" s="16">
        <f>ROUND(((($C$3-E85)/$C$3)*100),0)</f>
        <v>25</v>
      </c>
      <c r="G85" s="33">
        <f>($C$3/C85)*$C$5</f>
        <v>2839.7298553987284</v>
      </c>
    </row>
    <row r="86" spans="1:6" ht="12.75">
      <c r="A86" s="9" t="s">
        <v>17</v>
      </c>
      <c r="B86" s="10"/>
      <c r="C86" s="14">
        <f>($C$5*B80*B85*336)/($C$4)</f>
        <v>2842.3894736842103</v>
      </c>
      <c r="D86" s="10"/>
      <c r="E86" s="16"/>
      <c r="F86" s="16"/>
    </row>
    <row r="87" ht="12.75" hidden="1"/>
    <row r="88" spans="1:6" ht="12.75" hidden="1">
      <c r="A88" s="11" t="s">
        <v>5</v>
      </c>
      <c r="B88" s="1" t="s">
        <v>22</v>
      </c>
      <c r="C88" s="12"/>
      <c r="D88" s="8" t="s">
        <v>7</v>
      </c>
      <c r="E88" s="17" t="s">
        <v>25</v>
      </c>
      <c r="F88" s="17" t="s">
        <v>27</v>
      </c>
    </row>
    <row r="89" spans="1:6" ht="12.75" hidden="1">
      <c r="A89" s="19" t="s">
        <v>44</v>
      </c>
      <c r="B89" s="1" t="s">
        <v>8</v>
      </c>
      <c r="C89" s="1" t="s">
        <v>9</v>
      </c>
      <c r="D89" s="1" t="s">
        <v>10</v>
      </c>
      <c r="E89" s="17">
        <f>$C$3</f>
        <v>6500</v>
      </c>
      <c r="F89" s="17" t="s">
        <v>28</v>
      </c>
    </row>
    <row r="90" spans="1:6" ht="12.75" hidden="1">
      <c r="A90" s="11" t="s">
        <v>11</v>
      </c>
      <c r="B90" s="10">
        <v>3.89</v>
      </c>
      <c r="C90" s="13"/>
      <c r="D90" s="1" t="s">
        <v>8</v>
      </c>
      <c r="E90" s="17" t="s">
        <v>26</v>
      </c>
      <c r="F90" s="17"/>
    </row>
    <row r="91" spans="1:6" ht="12.75" hidden="1">
      <c r="A91" s="11" t="s">
        <v>12</v>
      </c>
      <c r="B91" s="10">
        <v>3.6</v>
      </c>
      <c r="C91" s="13">
        <f>((($C$3/$B$90/B91))*(($C$4/2)*2*3.1457))*(0.000947)</f>
        <v>36.77986853113397</v>
      </c>
      <c r="D91" s="10">
        <f>(B90*B91)</f>
        <v>14.004000000000001</v>
      </c>
      <c r="E91" s="16"/>
      <c r="F91" s="16"/>
    </row>
    <row r="92" spans="1:6" ht="12.75" hidden="1">
      <c r="A92" s="11" t="s">
        <v>13</v>
      </c>
      <c r="B92" s="10">
        <v>2.12</v>
      </c>
      <c r="C92" s="13">
        <f>((($C$3/$B$90/B92))*(($C$4/2)*2*3.1457))*(0.000947)</f>
        <v>62.45638052456711</v>
      </c>
      <c r="D92" s="10">
        <f>(B90*B92)</f>
        <v>8.2468</v>
      </c>
      <c r="E92" s="16">
        <f>ROUND((C91*B90*B92*336)/($C$4),-1)</f>
        <v>3830</v>
      </c>
      <c r="F92" s="16">
        <f>ROUND(((($C$3-E92)/$C$3)*100),0)</f>
        <v>41</v>
      </c>
    </row>
    <row r="93" spans="1:6" ht="12.75" hidden="1">
      <c r="A93" s="11" t="s">
        <v>14</v>
      </c>
      <c r="B93" s="10">
        <v>1.36</v>
      </c>
      <c r="C93" s="13">
        <f>((($C$3/$B$90/B93))*(($C$4/2)*2*3.1457))*(0.000947)</f>
        <v>97.3584755235899</v>
      </c>
      <c r="D93" s="10">
        <f>(B90*B93)</f>
        <v>5.290400000000001</v>
      </c>
      <c r="E93" s="16">
        <f>ROUND((C92*B90*B93*336)/($C$4),-1)</f>
        <v>4170</v>
      </c>
      <c r="F93" s="16">
        <f>ROUND(((($C$3-E93)/$C$3)*100),0)</f>
        <v>36</v>
      </c>
    </row>
    <row r="94" spans="1:6" ht="12.75" hidden="1">
      <c r="A94" s="11" t="s">
        <v>15</v>
      </c>
      <c r="B94" s="10">
        <v>0.96</v>
      </c>
      <c r="C94" s="13">
        <f>((($C$3/$B$90/B94))*(($C$4/2)*2*3.1457))*(0.000947)</f>
        <v>137.92450699175237</v>
      </c>
      <c r="D94" s="10">
        <f>(B90*B94)</f>
        <v>3.7344</v>
      </c>
      <c r="E94" s="16">
        <f>ROUND((C93*B90*B94*336)/($C$4),-1)</f>
        <v>4590</v>
      </c>
      <c r="F94" s="16">
        <f>ROUND(((($C$3-E94)/$C$3)*100),0)</f>
        <v>29</v>
      </c>
    </row>
    <row r="95" spans="1:6" ht="12.75" hidden="1">
      <c r="A95" s="11" t="s">
        <v>16</v>
      </c>
      <c r="B95" s="10">
        <v>0.77</v>
      </c>
      <c r="C95" s="15">
        <f>((($C$3/$B$90/B95))*(($C$4/2)*2*3.1457))*(0.000947)</f>
        <v>171.95782689880818</v>
      </c>
      <c r="D95" s="10">
        <f>(B90*B95)</f>
        <v>2.9953000000000003</v>
      </c>
      <c r="E95" s="16">
        <f>ROUND((C94*B90*B95*336)/($C$4),-1)</f>
        <v>5220</v>
      </c>
      <c r="F95" s="16">
        <f>ROUND(((($C$3-E95)/$C$3)*100),0)</f>
        <v>20</v>
      </c>
    </row>
    <row r="96" spans="1:6" ht="12.75" hidden="1">
      <c r="A96" s="9" t="s">
        <v>17</v>
      </c>
      <c r="B96" s="12"/>
      <c r="C96" s="14">
        <f>($C$5*B90*B95*336)/($C$4)</f>
        <v>2837.652631578947</v>
      </c>
      <c r="D96" s="10"/>
      <c r="E96" s="16"/>
      <c r="F96" s="16"/>
    </row>
    <row r="98" spans="1:6" ht="12.75">
      <c r="A98" s="11" t="s">
        <v>5</v>
      </c>
      <c r="B98" s="1" t="s">
        <v>42</v>
      </c>
      <c r="C98" s="12"/>
      <c r="D98" s="8" t="s">
        <v>7</v>
      </c>
      <c r="E98" s="17" t="s">
        <v>25</v>
      </c>
      <c r="F98" s="17" t="s">
        <v>27</v>
      </c>
    </row>
    <row r="99" spans="1:6" ht="12.75">
      <c r="A99" s="11"/>
      <c r="B99" s="1" t="s">
        <v>8</v>
      </c>
      <c r="C99" s="1" t="s">
        <v>9</v>
      </c>
      <c r="D99" s="1" t="s">
        <v>10</v>
      </c>
      <c r="E99" s="17">
        <f>$C$3</f>
        <v>6500</v>
      </c>
      <c r="F99" s="17" t="s">
        <v>28</v>
      </c>
    </row>
    <row r="100" spans="1:6" ht="12.75">
      <c r="A100" s="11" t="s">
        <v>11</v>
      </c>
      <c r="B100" s="10">
        <v>4.56</v>
      </c>
      <c r="C100" s="13"/>
      <c r="D100" s="1" t="s">
        <v>8</v>
      </c>
      <c r="E100" s="17" t="s">
        <v>26</v>
      </c>
      <c r="F100" s="17"/>
    </row>
    <row r="101" spans="1:6" ht="12.75">
      <c r="A101" s="11" t="s">
        <v>12</v>
      </c>
      <c r="B101" s="10">
        <v>3.6</v>
      </c>
      <c r="C101" s="13">
        <f>((($C$3/$B$100/B101))*(($C$4/2)*2*3.1457))*(0.000947)</f>
        <v>31.37580890046297</v>
      </c>
      <c r="D101" s="10">
        <f>(B100*B101)</f>
        <v>16.416</v>
      </c>
      <c r="E101" s="16"/>
      <c r="F101" s="16"/>
    </row>
    <row r="102" spans="1:6" ht="12.75">
      <c r="A102" s="11" t="s">
        <v>13</v>
      </c>
      <c r="B102" s="10">
        <v>1.88</v>
      </c>
      <c r="C102" s="13">
        <f>((($C$3/$B$100/B102))*(($C$4/2)*2*3.1457))*(0.000947)</f>
        <v>60.08133619237591</v>
      </c>
      <c r="D102" s="10">
        <f>(B100*B102)</f>
        <v>8.572799999999999</v>
      </c>
      <c r="E102" s="16">
        <f>ROUND((C101*B100*B102*336)/($C$4),-1)</f>
        <v>3400</v>
      </c>
      <c r="F102" s="16">
        <f>ROUND(((($C$3-E102)/$C$3)*100),0)</f>
        <v>48</v>
      </c>
    </row>
    <row r="103" spans="1:6" ht="12.75">
      <c r="A103" s="11" t="s">
        <v>14</v>
      </c>
      <c r="B103" s="10">
        <v>1.19</v>
      </c>
      <c r="C103" s="13">
        <f>((($C$3/$B$100/B103))*(($C$4/2)*2*3.1457))*(0.000947)</f>
        <v>94.91841348039219</v>
      </c>
      <c r="D103" s="10">
        <f>(B100*B103)</f>
        <v>5.426399999999999</v>
      </c>
      <c r="E103" s="16">
        <f>ROUND((C102*B100*B103*336)/($C$4),-1)</f>
        <v>4120</v>
      </c>
      <c r="F103" s="16">
        <f>ROUND(((($C$3-E103)/$C$3)*100),0)</f>
        <v>37</v>
      </c>
    </row>
    <row r="104" spans="1:6" ht="12.75">
      <c r="A104" s="11" t="s">
        <v>15</v>
      </c>
      <c r="B104" s="10">
        <v>0.84</v>
      </c>
      <c r="C104" s="13">
        <f>((($C$3/$B$100/B104))*(($C$4/2)*2*3.1457))*(0.000947)</f>
        <v>134.46775243055558</v>
      </c>
      <c r="D104" s="10">
        <f>(B100*B104)</f>
        <v>3.8303999999999996</v>
      </c>
      <c r="E104" s="16">
        <f>ROUND((C103*B100*B104*336)/($C$4),-1)</f>
        <v>4590</v>
      </c>
      <c r="F104" s="16">
        <f>ROUND(((($C$3-E104)/$C$3)*100),0)</f>
        <v>29</v>
      </c>
    </row>
    <row r="105" spans="1:7" ht="12.75">
      <c r="A105" s="11" t="s">
        <v>16</v>
      </c>
      <c r="B105" s="10">
        <v>0.64</v>
      </c>
      <c r="C105" s="14">
        <f>((($C$3/$B$100/B105))*(($C$4/2)*2*3.1457))*(0.000947)</f>
        <v>176.48892506510424</v>
      </c>
      <c r="D105" s="10">
        <f>(B100*B105)</f>
        <v>2.9183999999999997</v>
      </c>
      <c r="E105" s="16">
        <f>ROUND((C104*B100*B105*336)/($C$4),-1)</f>
        <v>4960</v>
      </c>
      <c r="F105" s="16">
        <f>ROUND(((($C$3-E105)/$C$3)*100),0)</f>
        <v>24</v>
      </c>
      <c r="G105" s="33">
        <f>($C$3/C105)*$C$5</f>
        <v>2762.212982033678</v>
      </c>
    </row>
    <row r="106" spans="1:6" ht="12.75">
      <c r="A106" s="9" t="s">
        <v>17</v>
      </c>
      <c r="B106" s="12"/>
      <c r="C106" s="14">
        <f>($C$5*B100*B105*336)/($C$4)</f>
        <v>2764.7999999999997</v>
      </c>
      <c r="D106" s="10"/>
      <c r="E106" s="16"/>
      <c r="F106" s="16"/>
    </row>
    <row r="108" spans="1:6" ht="12.75">
      <c r="A108" s="9" t="s">
        <v>5</v>
      </c>
      <c r="B108" s="8" t="s">
        <v>49</v>
      </c>
      <c r="C108" s="12"/>
      <c r="D108" s="8" t="s">
        <v>7</v>
      </c>
      <c r="E108" s="17" t="s">
        <v>25</v>
      </c>
      <c r="F108" s="17" t="s">
        <v>27</v>
      </c>
    </row>
    <row r="109" spans="1:6" ht="12.75">
      <c r="A109" s="19"/>
      <c r="B109" s="1" t="s">
        <v>8</v>
      </c>
      <c r="C109" s="1" t="s">
        <v>9</v>
      </c>
      <c r="D109" s="1" t="s">
        <v>10</v>
      </c>
      <c r="E109" s="17">
        <f>$C$3</f>
        <v>6500</v>
      </c>
      <c r="F109" s="17" t="s">
        <v>28</v>
      </c>
    </row>
    <row r="110" spans="1:6" ht="12.75">
      <c r="A110" s="11" t="s">
        <v>11</v>
      </c>
      <c r="B110" s="10">
        <v>3.89</v>
      </c>
      <c r="C110" s="13"/>
      <c r="D110" s="1" t="s">
        <v>8</v>
      </c>
      <c r="E110" s="17" t="s">
        <v>26</v>
      </c>
      <c r="F110" s="17"/>
    </row>
    <row r="111" spans="1:6" ht="12.75">
      <c r="A111" s="11" t="s">
        <v>12</v>
      </c>
      <c r="B111" s="10">
        <v>3.6</v>
      </c>
      <c r="C111" s="13">
        <f>((($C$3/$B$110/B111))*(($C$4/2)*2*3.1457))*(0.000947)</f>
        <v>36.77986853113397</v>
      </c>
      <c r="D111" s="10">
        <f>(B110*B111)</f>
        <v>14.004000000000001</v>
      </c>
      <c r="E111" s="16"/>
      <c r="F111" s="16"/>
    </row>
    <row r="112" spans="1:6" ht="12.75">
      <c r="A112" s="11" t="s">
        <v>13</v>
      </c>
      <c r="B112" s="10">
        <v>2.13</v>
      </c>
      <c r="C112" s="13">
        <f>((($C$3/$B$110/B112))*(($C$4/2)*2*3.1457))*(0.000947)</f>
        <v>62.1631580807898</v>
      </c>
      <c r="D112" s="10">
        <f>(B110*B112)</f>
        <v>8.2857</v>
      </c>
      <c r="E112" s="16">
        <f>ROUND((C111*B110*B112*336)/($C$4),-1)</f>
        <v>3850</v>
      </c>
      <c r="F112" s="16">
        <f>ROUND(((($C$3-E112)/$C$3)*100),0)</f>
        <v>41</v>
      </c>
    </row>
    <row r="113" spans="1:6" ht="12.75">
      <c r="A113" s="11" t="s">
        <v>14</v>
      </c>
      <c r="B113" s="10">
        <v>1.36</v>
      </c>
      <c r="C113" s="13">
        <f>((($C$3/$B$110/B113))*(($C$4/2)*2*3.1457))*(0.000947)</f>
        <v>97.3584755235899</v>
      </c>
      <c r="D113" s="10">
        <f>(B110*B113)</f>
        <v>5.290400000000001</v>
      </c>
      <c r="E113" s="16">
        <f>ROUND((C112*B110*B113*336)/($C$4),-1)</f>
        <v>4150</v>
      </c>
      <c r="F113" s="16">
        <f>ROUND(((($C$3-E113)/$C$3)*100),0)</f>
        <v>36</v>
      </c>
    </row>
    <row r="114" spans="1:6" ht="12.75">
      <c r="A114" s="11" t="s">
        <v>15</v>
      </c>
      <c r="B114" s="10">
        <v>0.97</v>
      </c>
      <c r="C114" s="13">
        <f>((($C$3/$B$110/B114))*(($C$4/2)*2*3.1457))*(0.000947)</f>
        <v>136.5026048578168</v>
      </c>
      <c r="D114" s="10">
        <f>(B110*B114)</f>
        <v>3.7733</v>
      </c>
      <c r="E114" s="16">
        <f>ROUND((C113*B110*B114*336)/($C$4),-1)</f>
        <v>4640</v>
      </c>
      <c r="F114" s="16">
        <f>ROUND(((($C$3-E114)/$C$3)*100),0)</f>
        <v>29</v>
      </c>
    </row>
    <row r="115" spans="1:7" ht="12.75">
      <c r="A115" s="11" t="s">
        <v>16</v>
      </c>
      <c r="B115" s="10">
        <v>0.73</v>
      </c>
      <c r="C115" s="15">
        <f>((($C$3/$B$110/B115))*(($C$4/2)*2*3.1457))*(0.000947)</f>
        <v>181.3801735781949</v>
      </c>
      <c r="D115" s="10">
        <f>(B110*B115)</f>
        <v>2.8397</v>
      </c>
      <c r="E115" s="16">
        <f>ROUND((C114*B110*B115*336)/($C$4),-1)</f>
        <v>4900</v>
      </c>
      <c r="F115" s="16">
        <f>ROUND(((($C$3-E115)/$C$3)*100),0)</f>
        <v>25</v>
      </c>
      <c r="G115" s="33">
        <f>($C$3/C115)*$C$5</f>
        <v>2687.7248509734923</v>
      </c>
    </row>
    <row r="116" spans="1:6" ht="12.75">
      <c r="A116" s="9" t="s">
        <v>17</v>
      </c>
      <c r="B116" s="10"/>
      <c r="C116" s="14">
        <f>($C$5*B110*B115*336)/($C$4)</f>
        <v>2690.242105263158</v>
      </c>
      <c r="D116" s="10"/>
      <c r="E116" s="16"/>
      <c r="F116" s="16"/>
    </row>
    <row r="117" ht="12.75" hidden="1"/>
    <row r="118" spans="1:6" ht="12.75" hidden="1">
      <c r="A118" s="11" t="s">
        <v>5</v>
      </c>
      <c r="B118" s="1" t="s">
        <v>43</v>
      </c>
      <c r="C118" s="12"/>
      <c r="D118" s="8" t="s">
        <v>7</v>
      </c>
      <c r="E118" s="17" t="s">
        <v>25</v>
      </c>
      <c r="F118" s="17" t="s">
        <v>27</v>
      </c>
    </row>
    <row r="119" spans="1:6" ht="12.75" hidden="1">
      <c r="A119" s="19" t="s">
        <v>45</v>
      </c>
      <c r="B119" s="1" t="s">
        <v>8</v>
      </c>
      <c r="C119" s="1" t="s">
        <v>9</v>
      </c>
      <c r="D119" s="1" t="s">
        <v>10</v>
      </c>
      <c r="E119" s="17">
        <f>$C$3</f>
        <v>6500</v>
      </c>
      <c r="F119" s="17" t="s">
        <v>28</v>
      </c>
    </row>
    <row r="120" spans="1:6" ht="12.75" hidden="1">
      <c r="A120" s="11" t="s">
        <v>11</v>
      </c>
      <c r="B120" s="10">
        <v>4.11</v>
      </c>
      <c r="C120" s="13"/>
      <c r="D120" s="1" t="s">
        <v>8</v>
      </c>
      <c r="E120" s="17" t="s">
        <v>26</v>
      </c>
      <c r="F120" s="17"/>
    </row>
    <row r="121" spans="1:6" ht="12.75" hidden="1">
      <c r="A121" s="11" t="s">
        <v>12</v>
      </c>
      <c r="B121" s="10">
        <v>3.46</v>
      </c>
      <c r="C121" s="13">
        <f>((($C$3/$B$120/B121))*(($C$4/2)*2*3.1457))*(0.000947)</f>
        <v>36.21965872818306</v>
      </c>
      <c r="D121" s="10">
        <f>(B120*B121)</f>
        <v>14.220600000000001</v>
      </c>
      <c r="E121" s="16"/>
      <c r="F121" s="16"/>
    </row>
    <row r="122" spans="1:6" ht="12.75" hidden="1">
      <c r="A122" s="11" t="s">
        <v>13</v>
      </c>
      <c r="B122" s="10">
        <v>1.79</v>
      </c>
      <c r="C122" s="13">
        <f>((($C$3/$B$120/B122))*(($C$4/2)*2*3.1457))*(0.000947)</f>
        <v>70.01118391034268</v>
      </c>
      <c r="D122" s="10">
        <f>(B120*B122)</f>
        <v>7.3569</v>
      </c>
      <c r="E122" s="16">
        <f>ROUND((C121*B120*B122*336)/($C$4),-1)</f>
        <v>3370</v>
      </c>
      <c r="F122" s="16">
        <f>ROUND(((($C$3-E122)/$C$3)*100),0)</f>
        <v>48</v>
      </c>
    </row>
    <row r="123" spans="1:6" ht="12.75" hidden="1">
      <c r="A123" s="11" t="s">
        <v>14</v>
      </c>
      <c r="B123" s="10">
        <v>1.13</v>
      </c>
      <c r="C123" s="13">
        <f>((($C$3/$B$120/B123))*(($C$4/2)*2*3.1457))*(0.000947)</f>
        <v>110.90267185797647</v>
      </c>
      <c r="D123" s="10">
        <f>(B120*B123)</f>
        <v>4.6443</v>
      </c>
      <c r="E123" s="16">
        <f>ROUND((C122*B120*B123*336)/($C$4),-1)</f>
        <v>4110</v>
      </c>
      <c r="F123" s="16">
        <f>ROUND(((($C$3-E123)/$C$3)*100),0)</f>
        <v>37</v>
      </c>
    </row>
    <row r="124" spans="1:6" ht="12.75" hidden="1">
      <c r="A124" s="11" t="s">
        <v>15</v>
      </c>
      <c r="B124" s="10">
        <v>0.83</v>
      </c>
      <c r="C124" s="13">
        <f>((($C$3/$B$120/B124))*(($C$4/2)*2*3.1457))*(0.000947)</f>
        <v>150.98797493917277</v>
      </c>
      <c r="D124" s="10">
        <f>(B120*B124)</f>
        <v>3.4113</v>
      </c>
      <c r="E124" s="16">
        <f>ROUND((C123*B120*B124*336)/($C$4),-1)</f>
        <v>4780</v>
      </c>
      <c r="F124" s="16">
        <f>ROUND(((($C$3-E124)/$C$3)*100),0)</f>
        <v>26</v>
      </c>
    </row>
    <row r="125" spans="1:6" ht="12.75" hidden="1">
      <c r="A125" s="11" t="s">
        <v>16</v>
      </c>
      <c r="B125" s="10">
        <v>0.68</v>
      </c>
      <c r="C125" s="15">
        <f>((($C$3/$B$120/B125))*(($C$4/2)*2*3.1457))*(0.000947)</f>
        <v>184.29414588163735</v>
      </c>
      <c r="D125" s="10">
        <f>(B120*B125)</f>
        <v>2.7948000000000004</v>
      </c>
      <c r="E125" s="16">
        <f>ROUND((C124*B120*B125*336)/($C$4),-1)</f>
        <v>5330</v>
      </c>
      <c r="F125" s="16">
        <f>ROUND(((($C$3-E125)/$C$3)*100),0)</f>
        <v>18</v>
      </c>
    </row>
    <row r="126" spans="1:6" ht="12.75" hidden="1">
      <c r="A126" s="9" t="s">
        <v>17</v>
      </c>
      <c r="B126" s="12"/>
      <c r="C126" s="14">
        <f>($C$5*B120*B125*336)/($C$4)</f>
        <v>2647.705263157895</v>
      </c>
      <c r="D126" s="10"/>
      <c r="E126" s="16"/>
      <c r="F126" s="16"/>
    </row>
    <row r="127" ht="12.75" hidden="1"/>
    <row r="128" spans="1:6" ht="12.75" hidden="1">
      <c r="A128" s="9" t="s">
        <v>5</v>
      </c>
      <c r="B128" s="8" t="s">
        <v>23</v>
      </c>
      <c r="C128" s="12"/>
      <c r="D128" s="8" t="s">
        <v>7</v>
      </c>
      <c r="E128" s="17" t="s">
        <v>25</v>
      </c>
      <c r="F128" s="17" t="s">
        <v>27</v>
      </c>
    </row>
    <row r="129" spans="1:6" ht="12.75" hidden="1">
      <c r="A129" s="19" t="s">
        <v>46</v>
      </c>
      <c r="B129" s="1" t="s">
        <v>8</v>
      </c>
      <c r="C129" s="1" t="s">
        <v>9</v>
      </c>
      <c r="D129" s="1" t="s">
        <v>10</v>
      </c>
      <c r="E129" s="17">
        <f>$C$3</f>
        <v>6500</v>
      </c>
      <c r="F129" s="17" t="s">
        <v>28</v>
      </c>
    </row>
    <row r="130" spans="1:6" ht="12.75" hidden="1">
      <c r="A130" s="11" t="s">
        <v>11</v>
      </c>
      <c r="B130" s="10">
        <v>4.11</v>
      </c>
      <c r="C130" s="13"/>
      <c r="D130" s="1" t="s">
        <v>8</v>
      </c>
      <c r="E130" s="17" t="s">
        <v>26</v>
      </c>
      <c r="F130" s="17"/>
    </row>
    <row r="131" spans="1:6" ht="12.75" hidden="1">
      <c r="A131" s="11" t="s">
        <v>12</v>
      </c>
      <c r="B131" s="10">
        <v>3.46</v>
      </c>
      <c r="C131" s="13">
        <f>((($C$3/$B$130/B131))*(($C$4/2)*2*3.1457))*(0.000947)</f>
        <v>36.21965872818306</v>
      </c>
      <c r="D131" s="10">
        <f>(B130*B131)</f>
        <v>14.220600000000001</v>
      </c>
      <c r="E131" s="16"/>
      <c r="F131" s="16"/>
    </row>
    <row r="132" spans="1:6" ht="12.75" hidden="1">
      <c r="A132" s="11" t="s">
        <v>13</v>
      </c>
      <c r="B132" s="10">
        <v>1.79</v>
      </c>
      <c r="C132" s="13">
        <f>((($C$3/$B$130/B132))*(($C$4/2)*2*3.1457))*(0.000947)</f>
        <v>70.01118391034268</v>
      </c>
      <c r="D132" s="10">
        <f>(B130*B132)</f>
        <v>7.3569</v>
      </c>
      <c r="E132" s="16">
        <f>ROUND((C131*B130*B132*336)/($C$4),-1)</f>
        <v>3370</v>
      </c>
      <c r="F132" s="16">
        <f>ROUND(((($C$3-E132)/$C$3)*100),0)</f>
        <v>48</v>
      </c>
    </row>
    <row r="133" spans="1:6" ht="12.75" hidden="1">
      <c r="A133" s="11" t="s">
        <v>14</v>
      </c>
      <c r="B133" s="10">
        <v>1.13</v>
      </c>
      <c r="C133" s="13">
        <f>((($C$3/$B130/B133))*(($C$4/2)*2*3.1457))*(0.000947)</f>
        <v>110.90267185797647</v>
      </c>
      <c r="D133" s="10">
        <f>(B130*B133)</f>
        <v>4.6443</v>
      </c>
      <c r="E133" s="16">
        <f>ROUND((C132*B130*B133*336)/($C$4),-1)</f>
        <v>4110</v>
      </c>
      <c r="F133" s="16">
        <f>ROUND(((($C$3-E133)/$C$3)*100),0)</f>
        <v>37</v>
      </c>
    </row>
    <row r="134" spans="1:6" ht="12.75" hidden="1">
      <c r="A134" s="11" t="s">
        <v>15</v>
      </c>
      <c r="B134" s="10">
        <v>0.83</v>
      </c>
      <c r="C134" s="13">
        <f>((($C$3/$B130/B134))*(($C$4/2)*2*3.1457))*(0.000947)</f>
        <v>150.98797493917277</v>
      </c>
      <c r="D134" s="10">
        <f>(B130*B134)</f>
        <v>3.4113</v>
      </c>
      <c r="E134" s="16">
        <f>ROUND((C133*B130*B134*336)/($C$4),-1)</f>
        <v>4780</v>
      </c>
      <c r="F134" s="16">
        <f>ROUND(((($C$3-E134)/$C$3)*100),0)</f>
        <v>26</v>
      </c>
    </row>
    <row r="135" spans="1:6" ht="12.75" hidden="1">
      <c r="A135" s="11" t="s">
        <v>16</v>
      </c>
      <c r="B135" s="10">
        <v>0.68</v>
      </c>
      <c r="C135" s="15">
        <f>((($C$3/$B$130/B135))*(($C$4/2)*2*3.1457))*(0.000947)</f>
        <v>184.29414588163735</v>
      </c>
      <c r="D135" s="10">
        <f>(B130*B135)</f>
        <v>2.7948000000000004</v>
      </c>
      <c r="E135" s="16">
        <f>ROUND((C134*B130*B135*336)/($C$4),-1)</f>
        <v>5330</v>
      </c>
      <c r="F135" s="16">
        <f>ROUND(((($C$3-E135)/$C$3)*100),0)</f>
        <v>18</v>
      </c>
    </row>
    <row r="136" spans="1:6" ht="12.75" hidden="1">
      <c r="A136" s="9" t="s">
        <v>17</v>
      </c>
      <c r="B136" s="10"/>
      <c r="C136" s="14">
        <f>($C$5*B130*B135*336)/($C$4)</f>
        <v>2647.705263157895</v>
      </c>
      <c r="D136" s="10"/>
      <c r="E136" s="16"/>
      <c r="F136" s="16"/>
    </row>
    <row r="137" spans="1:7" s="28" customFormat="1" ht="12.75">
      <c r="A137" s="30"/>
      <c r="B137" s="26"/>
      <c r="C137" s="31"/>
      <c r="D137" s="26"/>
      <c r="G137" s="34"/>
    </row>
    <row r="138" spans="1:6" ht="12.75">
      <c r="A138" s="11" t="s">
        <v>5</v>
      </c>
      <c r="B138" s="1" t="s">
        <v>51</v>
      </c>
      <c r="C138" s="12"/>
      <c r="D138" s="8" t="s">
        <v>7</v>
      </c>
      <c r="E138" s="17" t="s">
        <v>25</v>
      </c>
      <c r="F138" s="17" t="s">
        <v>27</v>
      </c>
    </row>
    <row r="139" spans="1:6" ht="12.75">
      <c r="A139" s="11"/>
      <c r="B139" s="1" t="s">
        <v>8</v>
      </c>
      <c r="C139" s="1" t="s">
        <v>9</v>
      </c>
      <c r="D139" s="1" t="s">
        <v>10</v>
      </c>
      <c r="E139" s="17">
        <f>$C$3</f>
        <v>6500</v>
      </c>
      <c r="F139" s="17" t="s">
        <v>28</v>
      </c>
    </row>
    <row r="140" spans="1:6" ht="12.75">
      <c r="A140" s="11" t="s">
        <v>11</v>
      </c>
      <c r="B140" s="10">
        <v>4.11</v>
      </c>
      <c r="C140" s="13"/>
      <c r="D140" s="1" t="s">
        <v>8</v>
      </c>
      <c r="E140" s="17" t="s">
        <v>26</v>
      </c>
      <c r="F140" s="17"/>
    </row>
    <row r="141" spans="1:6" ht="12.75">
      <c r="A141" s="11" t="s">
        <v>12</v>
      </c>
      <c r="B141" s="10">
        <v>3.6</v>
      </c>
      <c r="C141" s="13">
        <f>((($C$3/$B$140/B141))*(($C$4/2)*2*3.1457))*(0.000947)</f>
        <v>34.81111644430927</v>
      </c>
      <c r="D141" s="10">
        <f>(B140*B141)</f>
        <v>14.796000000000001</v>
      </c>
      <c r="E141" s="16"/>
      <c r="F141" s="16"/>
    </row>
    <row r="142" spans="1:6" ht="12.75">
      <c r="A142" s="11" t="s">
        <v>13</v>
      </c>
      <c r="B142" s="10">
        <v>1.88</v>
      </c>
      <c r="C142" s="13">
        <f>((($C$3/$B$140/B142))*(($C$4/2)*2*3.1457))*(0.000947)</f>
        <v>66.65958468059223</v>
      </c>
      <c r="D142" s="10">
        <f>(B140*B142)</f>
        <v>7.7268</v>
      </c>
      <c r="E142" s="16">
        <f>ROUND((C141*B140*B142*336)/($C$4),-1)</f>
        <v>3400</v>
      </c>
      <c r="F142" s="16">
        <f>ROUND(((($C$3-E142)/$C$3)*100),0)</f>
        <v>48</v>
      </c>
    </row>
    <row r="143" spans="1:6" ht="12.75">
      <c r="A143" s="11" t="s">
        <v>14</v>
      </c>
      <c r="B143" s="10">
        <v>1.19</v>
      </c>
      <c r="C143" s="13">
        <f>((($C$3/$B$140/B143))*(($C$4/2)*2*3.1457))*(0.000947)</f>
        <v>105.31094050379278</v>
      </c>
      <c r="D143" s="10">
        <f>(B140*B143)</f>
        <v>4.8909</v>
      </c>
      <c r="E143" s="16">
        <f>ROUND((C142*B140*B143*336)/($C$4),-1)</f>
        <v>4120</v>
      </c>
      <c r="F143" s="16">
        <f>ROUND(((($C$3-E143)/$C$3)*100),0)</f>
        <v>37</v>
      </c>
    </row>
    <row r="144" spans="1:6" ht="12.75">
      <c r="A144" s="11" t="s">
        <v>15</v>
      </c>
      <c r="B144" s="10">
        <v>0.84</v>
      </c>
      <c r="C144" s="13">
        <f>((($C$3/$B$140/B144))*(($C$4/2)*2*3.1457))*(0.000947)</f>
        <v>149.19049904703976</v>
      </c>
      <c r="D144" s="10">
        <f>(B140*B144)</f>
        <v>3.4524000000000004</v>
      </c>
      <c r="E144" s="16">
        <f>ROUND((C143*B140*B144*336)/($C$4),-1)</f>
        <v>4590</v>
      </c>
      <c r="F144" s="16">
        <f>ROUND(((($C$3-E144)/$C$3)*100),0)</f>
        <v>29</v>
      </c>
    </row>
    <row r="145" spans="1:7" ht="12.75">
      <c r="A145" s="11" t="s">
        <v>16</v>
      </c>
      <c r="B145" s="10">
        <v>0.68</v>
      </c>
      <c r="C145" s="15">
        <f>((($C$3/$B$140/B145))*(($C$4/2)*2*3.1457))*(0.000947)</f>
        <v>184.29414588163735</v>
      </c>
      <c r="D145" s="10">
        <f>(B140*B145)</f>
        <v>2.7948000000000004</v>
      </c>
      <c r="E145" s="16">
        <f>ROUND((C144*B140*B145*336)/($C$4),-1)</f>
        <v>5270</v>
      </c>
      <c r="F145" s="16">
        <f>ROUND(((($C$3-E145)/$C$3)*100),0)</f>
        <v>19</v>
      </c>
      <c r="G145" s="33">
        <f>($C$3/C145)*$C$5</f>
        <v>2645.227810508404</v>
      </c>
    </row>
    <row r="146" spans="1:6" ht="12.75">
      <c r="A146" s="9" t="s">
        <v>17</v>
      </c>
      <c r="B146" s="12"/>
      <c r="C146" s="14">
        <f>($C$5*B140*B145*336)/($C$4)</f>
        <v>2647.705263157895</v>
      </c>
      <c r="D146" s="10"/>
      <c r="E146" s="16"/>
      <c r="F146" s="16"/>
    </row>
    <row r="148" spans="1:6" ht="12.75">
      <c r="A148" s="11" t="s">
        <v>5</v>
      </c>
      <c r="B148" s="1" t="s">
        <v>48</v>
      </c>
      <c r="C148" s="32" t="s">
        <v>47</v>
      </c>
      <c r="D148" s="8" t="s">
        <v>7</v>
      </c>
      <c r="E148" s="17" t="s">
        <v>25</v>
      </c>
      <c r="F148" s="17" t="s">
        <v>27</v>
      </c>
    </row>
    <row r="149" spans="1:6" ht="12.75">
      <c r="A149" s="19"/>
      <c r="B149" s="1" t="s">
        <v>8</v>
      </c>
      <c r="C149" s="1" t="s">
        <v>9</v>
      </c>
      <c r="D149" s="1" t="s">
        <v>10</v>
      </c>
      <c r="E149" s="17">
        <f>$C$3</f>
        <v>6500</v>
      </c>
      <c r="F149" s="17" t="s">
        <v>28</v>
      </c>
    </row>
    <row r="150" spans="1:6" ht="12.75">
      <c r="A150" s="11" t="s">
        <v>11</v>
      </c>
      <c r="B150" s="10">
        <v>3.89</v>
      </c>
      <c r="C150" s="13"/>
      <c r="D150" s="1" t="s">
        <v>8</v>
      </c>
      <c r="E150" s="17" t="s">
        <v>26</v>
      </c>
      <c r="F150" s="17"/>
    </row>
    <row r="151" spans="1:6" ht="12.75">
      <c r="A151" s="11" t="s">
        <v>12</v>
      </c>
      <c r="B151" s="10">
        <v>3.6</v>
      </c>
      <c r="C151" s="13">
        <f>((($C$3/$B$150/B151))*(($C$4/2)*2*3.1457))*(0.000947)</f>
        <v>36.77986853113397</v>
      </c>
      <c r="D151" s="10">
        <f>(B150*B151)</f>
        <v>14.004000000000001</v>
      </c>
      <c r="E151" s="16"/>
      <c r="F151" s="16"/>
    </row>
    <row r="152" spans="1:6" ht="12.75">
      <c r="A152" s="11" t="s">
        <v>13</v>
      </c>
      <c r="B152" s="10">
        <v>1.94</v>
      </c>
      <c r="C152" s="13">
        <f>((($C$3/$B$150/B152))*(($C$4/2)*2*3.1457))*(0.000947)</f>
        <v>68.2513024289084</v>
      </c>
      <c r="D152" s="10">
        <f>(B150*B152)</f>
        <v>7.5466</v>
      </c>
      <c r="E152" s="16">
        <f>ROUND((C151*B150*B152*336)/($C$4),-1)</f>
        <v>3510</v>
      </c>
      <c r="F152" s="16">
        <f>ROUND(((($C$3-E152)/$C$3)*100),0)</f>
        <v>46</v>
      </c>
    </row>
    <row r="153" spans="1:6" ht="12.75">
      <c r="A153" s="11" t="s">
        <v>14</v>
      </c>
      <c r="B153" s="10">
        <v>1.23</v>
      </c>
      <c r="C153" s="13">
        <f>((($C$3/$B$150/B153))*(($C$4/2)*2*3.1457))*(0.000947)</f>
        <v>107.6483957008799</v>
      </c>
      <c r="D153" s="10">
        <f>(B150*B153)</f>
        <v>4.7847</v>
      </c>
      <c r="E153" s="16">
        <f>ROUND((C152*B150*B153*336)/($C$4),-1)</f>
        <v>4120</v>
      </c>
      <c r="F153" s="16">
        <f>ROUND(((($C$3-E153)/$C$3)*100),0)</f>
        <v>37</v>
      </c>
    </row>
    <row r="154" spans="1:6" ht="12.75">
      <c r="A154" s="11" t="s">
        <v>15</v>
      </c>
      <c r="B154" s="10">
        <v>0.9</v>
      </c>
      <c r="C154" s="13">
        <f>((($C$3/$B$150/B154))*(($C$4/2)*2*3.1457))*(0.000947)</f>
        <v>147.11947412453588</v>
      </c>
      <c r="D154" s="10">
        <f>(B150*B154)</f>
        <v>3.5010000000000003</v>
      </c>
      <c r="E154" s="16">
        <f>ROUND((C153*B150*B154*336)/($C$4),-1)</f>
        <v>4760</v>
      </c>
      <c r="F154" s="16">
        <f>ROUND(((($C$3-E154)/$C$3)*100),0)</f>
        <v>27</v>
      </c>
    </row>
    <row r="155" spans="1:7" ht="12.75">
      <c r="A155" s="11" t="s">
        <v>16</v>
      </c>
      <c r="B155" s="10">
        <v>0.68</v>
      </c>
      <c r="C155" s="15">
        <f>((($C$3/$B$150/B155))*(($C$4/2)*2*3.1457))*(0.000947)</f>
        <v>194.7169510471798</v>
      </c>
      <c r="D155" s="10">
        <f>(B150*B155)</f>
        <v>2.6452000000000004</v>
      </c>
      <c r="E155" s="16">
        <f>ROUND((C154*B150*B155*336)/($C$4),-1)</f>
        <v>4920</v>
      </c>
      <c r="F155" s="16">
        <f>ROUND(((($C$3-E155)/$C$3)*100),0)</f>
        <v>24</v>
      </c>
      <c r="G155" s="33">
        <f>($C$3/C155)*$C$5</f>
        <v>2503.6341077561297</v>
      </c>
    </row>
    <row r="156" spans="1:6" ht="12.75">
      <c r="A156" s="9" t="s">
        <v>17</v>
      </c>
      <c r="B156" s="12"/>
      <c r="C156" s="14">
        <f>($C$5*B150*B155*336)/($C$4)</f>
        <v>2505.9789473684214</v>
      </c>
      <c r="D156" s="10"/>
      <c r="E156" s="16"/>
      <c r="F156" s="16"/>
    </row>
    <row r="158" spans="1:6" ht="12.75">
      <c r="A158" s="11" t="s">
        <v>5</v>
      </c>
      <c r="B158" s="18" t="s">
        <v>53</v>
      </c>
      <c r="C158" s="12"/>
      <c r="D158" s="8" t="s">
        <v>7</v>
      </c>
      <c r="E158" s="17" t="s">
        <v>25</v>
      </c>
      <c r="F158" s="17" t="s">
        <v>27</v>
      </c>
    </row>
    <row r="159" spans="1:6" ht="12.75">
      <c r="A159" s="11"/>
      <c r="B159" s="1" t="s">
        <v>8</v>
      </c>
      <c r="C159" s="1" t="s">
        <v>9</v>
      </c>
      <c r="D159" s="1" t="s">
        <v>10</v>
      </c>
      <c r="E159" s="17">
        <f>$C$3</f>
        <v>6500</v>
      </c>
      <c r="F159" s="17" t="s">
        <v>28</v>
      </c>
    </row>
    <row r="160" spans="1:6" ht="12.75">
      <c r="A160" s="11" t="s">
        <v>11</v>
      </c>
      <c r="B160" s="10">
        <v>4.11</v>
      </c>
      <c r="C160" s="13"/>
      <c r="D160" s="1" t="s">
        <v>8</v>
      </c>
      <c r="E160" s="17" t="s">
        <v>26</v>
      </c>
      <c r="F160" s="17"/>
    </row>
    <row r="161" spans="1:6" ht="12.75">
      <c r="A161" s="11" t="s">
        <v>12</v>
      </c>
      <c r="B161" s="10">
        <v>3.6</v>
      </c>
      <c r="C161" s="13">
        <f>((($C$3/$B$160/B161))*(($C$4/2)*2*3.1457))*(0.000947)</f>
        <v>34.81111644430927</v>
      </c>
      <c r="D161" s="10">
        <f>(B160*B161)</f>
        <v>14.796000000000001</v>
      </c>
      <c r="E161" s="16"/>
      <c r="F161" s="16"/>
    </row>
    <row r="162" spans="1:6" ht="12.75">
      <c r="A162" s="11" t="s">
        <v>13</v>
      </c>
      <c r="B162" s="10">
        <v>1.88</v>
      </c>
      <c r="C162" s="13">
        <f>((($C$3/$B$160/B162))*(($C$4/2)*2*3.1457))*(0.000947)</f>
        <v>66.65958468059223</v>
      </c>
      <c r="D162" s="10">
        <f>(B160*B162)</f>
        <v>7.7268</v>
      </c>
      <c r="E162" s="16">
        <f>ROUND((C161*B160*B162*336)/($C$4),-1)</f>
        <v>3400</v>
      </c>
      <c r="F162" s="16">
        <f>ROUND(((($C$3-E162)/$C$3)*100),0)</f>
        <v>48</v>
      </c>
    </row>
    <row r="163" spans="1:6" ht="12.75">
      <c r="A163" s="11" t="s">
        <v>14</v>
      </c>
      <c r="B163" s="10">
        <v>1.19</v>
      </c>
      <c r="C163" s="13">
        <f>((($C$3/$B$160/B163))*(($C$4/2)*2*3.1457))*(0.000947)</f>
        <v>105.31094050379278</v>
      </c>
      <c r="D163" s="10">
        <f>(B160*B163)</f>
        <v>4.8909</v>
      </c>
      <c r="E163" s="16">
        <f>ROUND((C162*B160*B163*336)/($C$4),-1)</f>
        <v>4120</v>
      </c>
      <c r="F163" s="16">
        <f>ROUND(((($C$3-E163)/$C$3)*100),0)</f>
        <v>37</v>
      </c>
    </row>
    <row r="164" spans="1:6" ht="12.75">
      <c r="A164" s="11" t="s">
        <v>15</v>
      </c>
      <c r="B164" s="10">
        <v>0.84</v>
      </c>
      <c r="C164" s="13">
        <f>((($C$3/$B$160/B164))*(($C$4/2)*2*3.1457))*(0.000947)</f>
        <v>149.19049904703976</v>
      </c>
      <c r="D164" s="10">
        <f>(B160*B164)</f>
        <v>3.4524000000000004</v>
      </c>
      <c r="E164" s="16">
        <f>ROUND((C163*B160*B164*336)/($C$4),-1)</f>
        <v>4590</v>
      </c>
      <c r="F164" s="16">
        <f>ROUND(((($C$3-E164)/$C$3)*100),0)</f>
        <v>29</v>
      </c>
    </row>
    <row r="165" spans="1:7" ht="12.75">
      <c r="A165" s="11" t="s">
        <v>16</v>
      </c>
      <c r="B165" s="10">
        <v>0.64</v>
      </c>
      <c r="C165" s="14">
        <f>((($C$3/$B$160/B165))*(($C$4/2)*2*3.1457))*(0.000947)</f>
        <v>195.81252999923967</v>
      </c>
      <c r="D165" s="10">
        <f>(B160*B165)</f>
        <v>2.6304000000000003</v>
      </c>
      <c r="E165" s="16">
        <f>ROUND((C164*B160*B165*336)/($C$4),-1)</f>
        <v>4960</v>
      </c>
      <c r="F165" s="16">
        <f>ROUND(((($C$3-E165)/$C$3)*100),0)</f>
        <v>24</v>
      </c>
      <c r="G165" s="33">
        <f>($C$3/C165)*$C$5</f>
        <v>2489.626174596145</v>
      </c>
    </row>
    <row r="166" spans="1:6" ht="12.75">
      <c r="A166" s="9" t="s">
        <v>17</v>
      </c>
      <c r="B166" s="12"/>
      <c r="C166" s="14">
        <f>($C$5*B160*B165*336)/($C$4)</f>
        <v>2491.9578947368423</v>
      </c>
      <c r="D166" s="10"/>
      <c r="E166" s="16"/>
      <c r="F166" s="16"/>
    </row>
    <row r="168" spans="1:6" ht="12.75" hidden="1">
      <c r="A168" s="30"/>
      <c r="B168" s="23"/>
      <c r="C168" s="22"/>
      <c r="D168" s="23"/>
      <c r="E168" s="24"/>
      <c r="F168" s="24"/>
    </row>
    <row r="169" spans="1:6" ht="12.75" hidden="1">
      <c r="A169" s="25"/>
      <c r="B169" s="21"/>
      <c r="C169" s="21"/>
      <c r="D169" s="21"/>
      <c r="E169" s="24"/>
      <c r="F169" s="24"/>
    </row>
    <row r="170" spans="1:6" ht="12.75" hidden="1">
      <c r="A170" s="20"/>
      <c r="B170" s="26"/>
      <c r="C170" s="27"/>
      <c r="D170" s="21"/>
      <c r="E170" s="24"/>
      <c r="F170" s="24"/>
    </row>
    <row r="171" spans="1:6" ht="12.75" hidden="1">
      <c r="A171" s="20"/>
      <c r="B171" s="26"/>
      <c r="C171" s="27"/>
      <c r="D171" s="26"/>
      <c r="E171" s="28"/>
      <c r="F171" s="28"/>
    </row>
    <row r="172" spans="1:6" ht="12.75" hidden="1">
      <c r="A172" s="20"/>
      <c r="B172" s="26"/>
      <c r="C172" s="27"/>
      <c r="D172" s="26"/>
      <c r="E172" s="28"/>
      <c r="F172" s="28"/>
    </row>
    <row r="173" spans="1:6" ht="12.75" hidden="1">
      <c r="A173" s="20"/>
      <c r="B173" s="26"/>
      <c r="C173" s="27"/>
      <c r="D173" s="26"/>
      <c r="E173" s="28"/>
      <c r="F173" s="28"/>
    </row>
    <row r="174" spans="1:6" ht="12.75" hidden="1">
      <c r="A174" s="20"/>
      <c r="B174" s="26"/>
      <c r="C174" s="27"/>
      <c r="D174" s="26"/>
      <c r="E174" s="28"/>
      <c r="F174" s="28"/>
    </row>
    <row r="175" spans="1:6" ht="12.75" hidden="1">
      <c r="A175" s="20"/>
      <c r="B175" s="26"/>
      <c r="C175" s="29"/>
      <c r="D175" s="26"/>
      <c r="E175" s="28"/>
      <c r="F175" s="28"/>
    </row>
    <row r="176" spans="1:6" ht="12.75" hidden="1">
      <c r="A176" s="30"/>
      <c r="B176" s="26"/>
      <c r="C176" s="31"/>
      <c r="D176" s="26"/>
      <c r="E176" s="28"/>
      <c r="F176" s="28"/>
    </row>
    <row r="177" ht="12.75" hidden="1"/>
    <row r="178" spans="1:6" ht="12.75">
      <c r="A178" s="11" t="s">
        <v>5</v>
      </c>
      <c r="B178" s="1" t="s">
        <v>24</v>
      </c>
      <c r="C178" s="12"/>
      <c r="D178" s="8" t="s">
        <v>7</v>
      </c>
      <c r="E178" s="17" t="s">
        <v>25</v>
      </c>
      <c r="F178" s="17" t="s">
        <v>27</v>
      </c>
    </row>
    <row r="179" spans="1:6" ht="12.75">
      <c r="A179" s="11"/>
      <c r="B179" s="1" t="s">
        <v>8</v>
      </c>
      <c r="C179" s="1" t="s">
        <v>9</v>
      </c>
      <c r="D179" s="1" t="s">
        <v>10</v>
      </c>
      <c r="E179" s="17">
        <f>$C$3</f>
        <v>6500</v>
      </c>
      <c r="F179" s="17" t="s">
        <v>28</v>
      </c>
    </row>
    <row r="180" spans="1:6" ht="12.75">
      <c r="A180" s="11" t="s">
        <v>11</v>
      </c>
      <c r="B180" s="10">
        <v>3.89</v>
      </c>
      <c r="C180" s="13"/>
      <c r="D180" s="1" t="s">
        <v>8</v>
      </c>
      <c r="E180" s="17" t="s">
        <v>26</v>
      </c>
      <c r="F180" s="17"/>
    </row>
    <row r="181" spans="1:6" ht="12.75">
      <c r="A181" s="11" t="s">
        <v>12</v>
      </c>
      <c r="B181" s="10">
        <v>3.6</v>
      </c>
      <c r="C181" s="13">
        <f>((($C$3/$B$180/B181))*(($C$4/2)*2*3.1457))*(0.000947)</f>
        <v>36.77986853113397</v>
      </c>
      <c r="D181" s="10">
        <f>(B180*B181)</f>
        <v>14.004000000000001</v>
      </c>
      <c r="E181" s="16"/>
      <c r="F181" s="16"/>
    </row>
    <row r="182" spans="1:6" ht="12.75">
      <c r="A182" s="11" t="s">
        <v>13</v>
      </c>
      <c r="B182" s="10">
        <v>1.88</v>
      </c>
      <c r="C182" s="13">
        <f>((($C$3/$B$180/B182))*(($C$4/2)*2*3.1457))*(0.000947)</f>
        <v>70.42953548515015</v>
      </c>
      <c r="D182" s="10">
        <f>(B180*B182)</f>
        <v>7.3132</v>
      </c>
      <c r="E182" s="16">
        <f>ROUND((C181*B180*B182*336)/($C$4),-1)</f>
        <v>3400</v>
      </c>
      <c r="F182" s="16">
        <f>ROUND(((($C$3-E182)/$C$3)*100),0)</f>
        <v>48</v>
      </c>
    </row>
    <row r="183" spans="1:6" ht="12.75">
      <c r="A183" s="11" t="s">
        <v>14</v>
      </c>
      <c r="B183" s="10">
        <v>1.19</v>
      </c>
      <c r="C183" s="13">
        <f>((($C$3/$B$180/B183))*(($C$4/2)*2*3.1457))*(0.000947)</f>
        <v>111.26682916981706</v>
      </c>
      <c r="D183" s="10">
        <f>(B180*B183)</f>
        <v>4.6291</v>
      </c>
      <c r="E183" s="16">
        <f>ROUND((C182*B180*B183*336)/($C$4),-1)</f>
        <v>4120</v>
      </c>
      <c r="F183" s="16">
        <f>ROUND(((($C$3-E183)/$C$3)*100),0)</f>
        <v>37</v>
      </c>
    </row>
    <row r="184" spans="1:6" ht="12.75">
      <c r="A184" s="11" t="s">
        <v>15</v>
      </c>
      <c r="B184" s="10">
        <v>0.84</v>
      </c>
      <c r="C184" s="13">
        <f>((($C$3/$B$180/B184))*(($C$4/2)*2*3.1457))*(0.000947)</f>
        <v>157.62800799057413</v>
      </c>
      <c r="D184" s="10">
        <f>(B180*B184)</f>
        <v>3.2676</v>
      </c>
      <c r="E184" s="16">
        <f>ROUND((C183*B180*B184*336)/($C$4),-1)</f>
        <v>4590</v>
      </c>
      <c r="F184" s="16">
        <f>ROUND(((($C$3-E184)/$C$3)*100),0)</f>
        <v>29</v>
      </c>
    </row>
    <row r="185" spans="1:7" ht="12.75">
      <c r="A185" s="11" t="s">
        <v>16</v>
      </c>
      <c r="B185" s="10">
        <v>0.64</v>
      </c>
      <c r="C185" s="15">
        <f>((($C$3/$B$180/B185))*(($C$4/2)*2*3.1457))*(0.000947)</f>
        <v>206.88676048762858</v>
      </c>
      <c r="D185" s="10">
        <f>(B180*B185)</f>
        <v>2.4896000000000003</v>
      </c>
      <c r="E185" s="16">
        <f>ROUND((C184*B180*B185*336)/($C$4),-1)</f>
        <v>4960</v>
      </c>
      <c r="F185" s="16">
        <f>ROUND(((($C$3-E185)/$C$3)*100),0)</f>
        <v>24</v>
      </c>
      <c r="G185" s="33">
        <f>($C$3/C185)*$C$5</f>
        <v>2356.3615131822394</v>
      </c>
    </row>
    <row r="186" spans="1:6" ht="12.75">
      <c r="A186" s="9" t="s">
        <v>17</v>
      </c>
      <c r="B186" s="12"/>
      <c r="C186" s="14">
        <f>($C$5*B180*B185*336)/($C$4)</f>
        <v>2358.5684210526315</v>
      </c>
      <c r="D186" s="10"/>
      <c r="E186" s="16"/>
      <c r="F186" s="16"/>
    </row>
    <row r="188" spans="1:6" ht="12.75" hidden="1">
      <c r="A188" s="20"/>
      <c r="B188" s="21"/>
      <c r="C188" s="22"/>
      <c r="D188" s="23"/>
      <c r="E188" s="24"/>
      <c r="F188" s="24"/>
    </row>
    <row r="189" spans="1:6" ht="12.75" hidden="1">
      <c r="A189" s="25"/>
      <c r="B189" s="21"/>
      <c r="C189" s="21"/>
      <c r="D189" s="21"/>
      <c r="E189" s="24"/>
      <c r="F189" s="24"/>
    </row>
    <row r="190" spans="1:6" ht="12.75" hidden="1">
      <c r="A190" s="20"/>
      <c r="B190" s="26"/>
      <c r="C190" s="27"/>
      <c r="D190" s="21"/>
      <c r="E190" s="24"/>
      <c r="F190" s="24"/>
    </row>
    <row r="191" spans="1:6" ht="12.75" hidden="1">
      <c r="A191" s="20"/>
      <c r="B191" s="26"/>
      <c r="C191" s="27"/>
      <c r="D191" s="26"/>
      <c r="E191" s="28"/>
      <c r="F191" s="28"/>
    </row>
    <row r="192" spans="1:6" ht="12.75" hidden="1">
      <c r="A192" s="20"/>
      <c r="B192" s="26"/>
      <c r="C192" s="27"/>
      <c r="D192" s="26"/>
      <c r="E192" s="28"/>
      <c r="F192" s="28"/>
    </row>
    <row r="193" spans="1:6" ht="12.75" hidden="1">
      <c r="A193" s="20"/>
      <c r="B193" s="26"/>
      <c r="C193" s="27"/>
      <c r="D193" s="26"/>
      <c r="E193" s="28"/>
      <c r="F193" s="28"/>
    </row>
    <row r="194" spans="1:6" ht="12.75" hidden="1">
      <c r="A194" s="20"/>
      <c r="B194" s="26"/>
      <c r="C194" s="27"/>
      <c r="D194" s="26"/>
      <c r="E194" s="28"/>
      <c r="F194" s="28"/>
    </row>
    <row r="195" spans="1:6" ht="12.75" hidden="1">
      <c r="A195" s="20"/>
      <c r="B195" s="26"/>
      <c r="C195" s="29"/>
      <c r="D195" s="26"/>
      <c r="E195" s="28"/>
      <c r="F195" s="28"/>
    </row>
    <row r="196" spans="1:6" ht="12.75" hidden="1">
      <c r="A196" s="30"/>
      <c r="B196" s="22"/>
      <c r="C196" s="31"/>
      <c r="D196" s="26"/>
      <c r="E196" s="28"/>
      <c r="F196" s="28"/>
    </row>
    <row r="197" ht="12.75" hidden="1"/>
    <row r="198" spans="1:6" ht="12.75" hidden="1">
      <c r="A198" s="11"/>
      <c r="B198" s="1"/>
      <c r="C198" s="12"/>
      <c r="D198" s="8"/>
      <c r="E198" s="17"/>
      <c r="F198" s="17"/>
    </row>
    <row r="199" spans="1:6" ht="12.75" hidden="1">
      <c r="A199" s="11"/>
      <c r="B199" s="1"/>
      <c r="C199" s="1"/>
      <c r="D199" s="1"/>
      <c r="E199" s="17"/>
      <c r="F199" s="17"/>
    </row>
    <row r="200" spans="1:6" ht="12.75" hidden="1">
      <c r="A200" s="11"/>
      <c r="B200" s="10"/>
      <c r="C200" s="13"/>
      <c r="D200" s="1"/>
      <c r="E200" s="17"/>
      <c r="F200" s="17"/>
    </row>
    <row r="201" spans="1:6" ht="12.75" hidden="1">
      <c r="A201" s="11"/>
      <c r="B201" s="10"/>
      <c r="C201" s="13"/>
      <c r="D201" s="10"/>
      <c r="E201" s="16"/>
      <c r="F201" s="16"/>
    </row>
    <row r="202" spans="1:6" ht="12.75" hidden="1">
      <c r="A202" s="11"/>
      <c r="B202" s="10"/>
      <c r="C202" s="13"/>
      <c r="D202" s="10"/>
      <c r="E202" s="16"/>
      <c r="F202" s="16"/>
    </row>
    <row r="203" spans="1:6" ht="12.75" hidden="1">
      <c r="A203" s="11"/>
      <c r="B203" s="10"/>
      <c r="C203" s="13"/>
      <c r="D203" s="10"/>
      <c r="E203" s="16"/>
      <c r="F203" s="16"/>
    </row>
    <row r="204" spans="1:6" ht="12.75" hidden="1">
      <c r="A204" s="11"/>
      <c r="B204" s="10"/>
      <c r="C204" s="13"/>
      <c r="D204" s="10"/>
      <c r="E204" s="16"/>
      <c r="F204" s="16"/>
    </row>
    <row r="205" spans="1:6" ht="12.75" hidden="1">
      <c r="A205" s="11"/>
      <c r="B205" s="10"/>
      <c r="C205" s="15"/>
      <c r="D205" s="10"/>
      <c r="E205" s="16"/>
      <c r="F205" s="16"/>
    </row>
    <row r="206" spans="1:6" ht="12.75" hidden="1">
      <c r="A206" s="9"/>
      <c r="B206" s="12"/>
      <c r="C206" s="14"/>
      <c r="D206" s="10"/>
      <c r="E206" s="16"/>
      <c r="F206" s="16"/>
    </row>
  </sheetData>
  <sheetProtection/>
  <printOptions/>
  <pageMargins left="1.25" right="1.25" top="1" bottom="1" header="0.5" footer="0.75"/>
  <pageSetup horizontalDpi="200" verticalDpi="200" orientation="portrait" r:id="rId1"/>
  <headerFooter alignWithMargins="0">
    <oddHeader>&amp;CAudi Trans Ratio Chart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G44"/>
  <sheetViews>
    <sheetView zoomScalePageLayoutView="0" workbookViewId="0" topLeftCell="C37">
      <selection activeCell="N24" sqref="N24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11.7109375" style="0" customWidth="1"/>
    <col min="5" max="5" width="12.57421875" style="0" customWidth="1"/>
    <col min="6" max="6" width="13.28125" style="0" customWidth="1"/>
  </cols>
  <sheetData>
    <row r="2" ht="12.75">
      <c r="B2" s="45" t="s">
        <v>68</v>
      </c>
    </row>
    <row r="4" spans="1:7" ht="12.75">
      <c r="A4" s="4" t="s">
        <v>2</v>
      </c>
      <c r="B4" s="6"/>
      <c r="C4" s="7">
        <v>6500</v>
      </c>
      <c r="D4" s="7"/>
      <c r="E4" s="7"/>
      <c r="F4" s="7"/>
      <c r="G4" s="33"/>
    </row>
    <row r="5" spans="1:7" ht="12.75">
      <c r="A5" s="4" t="s">
        <v>3</v>
      </c>
      <c r="B5" s="6"/>
      <c r="C5" s="7">
        <v>26.6</v>
      </c>
      <c r="D5" s="7"/>
      <c r="E5" s="7"/>
      <c r="F5" s="7"/>
      <c r="G5" s="35" t="s">
        <v>54</v>
      </c>
    </row>
    <row r="6" spans="1:7" ht="12.75">
      <c r="A6" s="4" t="s">
        <v>4</v>
      </c>
      <c r="B6" s="6"/>
      <c r="C6" s="7">
        <v>75</v>
      </c>
      <c r="D6" s="7"/>
      <c r="E6" s="7"/>
      <c r="F6" s="7"/>
      <c r="G6" s="35" t="s">
        <v>55</v>
      </c>
    </row>
    <row r="7" spans="1:7" ht="12.75">
      <c r="A7" s="2"/>
      <c r="B7" s="2"/>
      <c r="C7" s="2"/>
      <c r="D7" s="2"/>
      <c r="E7" s="2"/>
      <c r="F7" s="2"/>
      <c r="G7" s="33"/>
    </row>
    <row r="8" spans="1:7" ht="12.75">
      <c r="A8" s="2"/>
      <c r="B8" s="2"/>
      <c r="C8" s="2"/>
      <c r="D8" s="2"/>
      <c r="E8" s="2"/>
      <c r="F8" s="2"/>
      <c r="G8" s="33"/>
    </row>
    <row r="9" spans="1:7" ht="12.75">
      <c r="A9" s="9" t="s">
        <v>5</v>
      </c>
      <c r="B9" s="40" t="s">
        <v>69</v>
      </c>
      <c r="C9" s="12"/>
      <c r="D9" s="8" t="s">
        <v>7</v>
      </c>
      <c r="E9" s="17" t="s">
        <v>25</v>
      </c>
      <c r="F9" s="17" t="s">
        <v>27</v>
      </c>
      <c r="G9" s="33"/>
    </row>
    <row r="10" spans="1:7" ht="12.75">
      <c r="A10" s="40" t="s">
        <v>74</v>
      </c>
      <c r="B10" s="39"/>
      <c r="C10" s="12"/>
      <c r="D10" s="8"/>
      <c r="E10" s="17"/>
      <c r="F10" s="17"/>
      <c r="G10" s="33"/>
    </row>
    <row r="11" spans="1:7" ht="25.5">
      <c r="A11" s="9"/>
      <c r="B11" s="1" t="s">
        <v>8</v>
      </c>
      <c r="C11" s="48" t="s">
        <v>9</v>
      </c>
      <c r="D11" s="1" t="s">
        <v>10</v>
      </c>
      <c r="E11" s="17">
        <f>$C$4</f>
        <v>6500</v>
      </c>
      <c r="F11" s="17" t="s">
        <v>28</v>
      </c>
      <c r="G11" s="33"/>
    </row>
    <row r="12" spans="1:7" ht="12.75">
      <c r="A12" s="9" t="s">
        <v>11</v>
      </c>
      <c r="B12" s="36">
        <v>3.89</v>
      </c>
      <c r="C12" s="13"/>
      <c r="D12" s="1" t="s">
        <v>8</v>
      </c>
      <c r="E12" s="17" t="s">
        <v>26</v>
      </c>
      <c r="F12" s="17"/>
      <c r="G12" s="33"/>
    </row>
    <row r="13" spans="1:7" ht="12.75">
      <c r="A13" s="9" t="s">
        <v>12</v>
      </c>
      <c r="B13" s="10">
        <v>3.5</v>
      </c>
      <c r="C13" s="13">
        <f>((($C$4/$B$12/B13))*(($C$5/2)*2*3.1457))*(0.000947)</f>
        <v>37.8307219177378</v>
      </c>
      <c r="D13" s="10">
        <f>(B12*B13)</f>
        <v>13.615</v>
      </c>
      <c r="E13" s="16"/>
      <c r="F13" s="16"/>
      <c r="G13" s="33"/>
    </row>
    <row r="14" spans="1:7" ht="12.75">
      <c r="A14" s="9" t="s">
        <v>13</v>
      </c>
      <c r="B14" s="10">
        <v>2.118</v>
      </c>
      <c r="C14" s="13">
        <f>((($C$4/$B$12/B14))*(($C$5/2)*2*3.1457))*(0.000947)</f>
        <v>62.515357276714965</v>
      </c>
      <c r="D14" s="10">
        <f>(B12*B14)</f>
        <v>8.23902</v>
      </c>
      <c r="E14" s="16">
        <f>ROUND((C13*B12*B14*336)/($C$5),-1)</f>
        <v>3940</v>
      </c>
      <c r="F14" s="16">
        <f>ROUND(((($C$4-E14)/$C$4)*100),0)</f>
        <v>39</v>
      </c>
      <c r="G14" s="33"/>
    </row>
    <row r="15" spans="1:7" ht="12.75">
      <c r="A15" s="9" t="s">
        <v>14</v>
      </c>
      <c r="B15" s="37">
        <v>1.429</v>
      </c>
      <c r="C15" s="13">
        <f>((($C$4/$B$12/B15))*(($C$5/2)*2*3.1457))*(0.000947)</f>
        <v>92.65747145702049</v>
      </c>
      <c r="D15" s="10">
        <f>(B12*B15)</f>
        <v>5.55881</v>
      </c>
      <c r="E15" s="16">
        <f>ROUND((C14*B12*B15*336)/($C$5),-1)</f>
        <v>4390</v>
      </c>
      <c r="F15" s="16">
        <f>ROUND(((($C$4-E15)/$C$4)*100),0)</f>
        <v>32</v>
      </c>
      <c r="G15" s="33"/>
    </row>
    <row r="16" spans="1:7" ht="12.75">
      <c r="A16" s="9" t="s">
        <v>15</v>
      </c>
      <c r="B16" s="10">
        <v>1.029</v>
      </c>
      <c r="C16" s="13">
        <f>((($C$4/$B$12/B16))*(($C$5/2)*2*3.1457))*(0.000947)</f>
        <v>128.6759248902646</v>
      </c>
      <c r="D16" s="10">
        <f>(B12*B16)</f>
        <v>4.00281</v>
      </c>
      <c r="E16" s="16">
        <f>ROUND((C15*B12*B16*336)/($C$5),-1)</f>
        <v>4680</v>
      </c>
      <c r="F16" s="16">
        <f>ROUND(((($C$4-E16)/$C$4)*100),0)</f>
        <v>28</v>
      </c>
      <c r="G16" s="33"/>
    </row>
    <row r="17" spans="1:7" ht="12.75">
      <c r="A17" s="9" t="s">
        <v>16</v>
      </c>
      <c r="B17" s="10">
        <v>0.79</v>
      </c>
      <c r="C17" s="15">
        <f>((($C$4/$B$12/B17))*(($C$5/2)*2*3.1457))*(0.000947)</f>
        <v>167.60446419250923</v>
      </c>
      <c r="D17" s="10">
        <f>(B12*B17)</f>
        <v>3.0731</v>
      </c>
      <c r="E17" s="16">
        <f>ROUND((C16*B12*B17*336)/($C$5),-1)</f>
        <v>4990</v>
      </c>
      <c r="F17" s="16">
        <f>ROUND(((($C$4-E17)/$C$4)*100),0)</f>
        <v>23</v>
      </c>
      <c r="G17" s="33">
        <f>($C$4/C17)*$C$6</f>
        <v>2908.6337428343268</v>
      </c>
    </row>
    <row r="18" spans="1:7" ht="12.75">
      <c r="A18" s="9" t="s">
        <v>17</v>
      </c>
      <c r="B18" s="10"/>
      <c r="C18" s="14">
        <f>($C$6*B12*B17*336)/($C$5)</f>
        <v>2911.3578947368424</v>
      </c>
      <c r="D18" s="10"/>
      <c r="E18" s="16"/>
      <c r="F18" s="16"/>
      <c r="G18" s="33"/>
    </row>
    <row r="19" spans="1:7" ht="12.75">
      <c r="A19" s="2"/>
      <c r="B19" s="2"/>
      <c r="C19" s="2"/>
      <c r="D19" s="2"/>
      <c r="E19" s="2"/>
      <c r="F19" s="2"/>
      <c r="G19" s="33"/>
    </row>
    <row r="20" spans="1:7" ht="12.75">
      <c r="A20" s="2"/>
      <c r="B20" s="2"/>
      <c r="C20" s="2"/>
      <c r="D20" s="2"/>
      <c r="E20" s="2"/>
      <c r="F20" s="2"/>
      <c r="G20" s="33"/>
    </row>
    <row r="21" spans="1:7" ht="12.75">
      <c r="A21" s="9" t="s">
        <v>5</v>
      </c>
      <c r="B21" s="47" t="s">
        <v>70</v>
      </c>
      <c r="C21" s="12"/>
      <c r="D21" s="8" t="s">
        <v>7</v>
      </c>
      <c r="E21" s="17" t="s">
        <v>25</v>
      </c>
      <c r="F21" s="17" t="s">
        <v>27</v>
      </c>
      <c r="G21" s="33"/>
    </row>
    <row r="22" spans="1:7" ht="12.75">
      <c r="A22" s="40" t="s">
        <v>74</v>
      </c>
      <c r="B22" s="39"/>
      <c r="C22" s="12"/>
      <c r="D22" s="8"/>
      <c r="E22" s="17"/>
      <c r="F22" s="17"/>
      <c r="G22" s="33"/>
    </row>
    <row r="23" spans="1:7" ht="12.75">
      <c r="A23" s="9"/>
      <c r="B23" s="1" t="s">
        <v>8</v>
      </c>
      <c r="C23" s="48" t="s">
        <v>9</v>
      </c>
      <c r="D23" s="1" t="s">
        <v>10</v>
      </c>
      <c r="E23" s="17">
        <f>$C$4</f>
        <v>6500</v>
      </c>
      <c r="F23" s="17" t="s">
        <v>28</v>
      </c>
      <c r="G23" s="33"/>
    </row>
    <row r="24" spans="1:7" ht="12.75">
      <c r="A24" s="9" t="s">
        <v>11</v>
      </c>
      <c r="B24" s="36">
        <v>3.56</v>
      </c>
      <c r="C24" s="13"/>
      <c r="D24" s="1" t="s">
        <v>8</v>
      </c>
      <c r="E24" s="17" t="s">
        <v>26</v>
      </c>
      <c r="F24" s="17"/>
      <c r="G24" s="33"/>
    </row>
    <row r="25" spans="1:7" ht="12.75">
      <c r="A25" s="9" t="s">
        <v>12</v>
      </c>
      <c r="B25" s="10">
        <v>3.5</v>
      </c>
      <c r="C25" s="13">
        <f>((($C$4/$B$12/B25))*(($C$5/2)*2*3.1457))*(0.000947)</f>
        <v>37.8307219177378</v>
      </c>
      <c r="D25" s="10">
        <f>(B24*B25)</f>
        <v>12.46</v>
      </c>
      <c r="E25" s="16"/>
      <c r="F25" s="16"/>
      <c r="G25" s="33"/>
    </row>
    <row r="26" spans="1:7" ht="12.75">
      <c r="A26" s="9" t="s">
        <v>13</v>
      </c>
      <c r="B26" s="10">
        <v>2.118</v>
      </c>
      <c r="C26" s="13">
        <f>((($C$4/$B$12/B26))*(($C$5/2)*2*3.1457))*(0.000947)</f>
        <v>62.515357276714965</v>
      </c>
      <c r="D26" s="10">
        <f>(B24*B26)</f>
        <v>7.54008</v>
      </c>
      <c r="E26" s="16">
        <f>ROUND((C25*B24*B26*336)/($C$5),-1)</f>
        <v>3600</v>
      </c>
      <c r="F26" s="16">
        <f>ROUND(((($C$4-E26)/$C$4)*100),0)</f>
        <v>45</v>
      </c>
      <c r="G26" s="33"/>
    </row>
    <row r="27" spans="1:7" ht="12.75">
      <c r="A27" s="9" t="s">
        <v>14</v>
      </c>
      <c r="B27" s="37">
        <v>1.429</v>
      </c>
      <c r="C27" s="13">
        <f>((($C$4/$B$12/B27))*(($C$5/2)*2*3.1457))*(0.000947)</f>
        <v>92.65747145702049</v>
      </c>
      <c r="D27" s="10">
        <f>(B24*B27)</f>
        <v>5.08724</v>
      </c>
      <c r="E27" s="16">
        <f>ROUND((C26*B24*B27*336)/($C$5),-1)</f>
        <v>4020</v>
      </c>
      <c r="F27" s="16">
        <f>ROUND(((($C$4-E27)/$C$4)*100),0)</f>
        <v>38</v>
      </c>
      <c r="G27" s="33"/>
    </row>
    <row r="28" spans="1:7" ht="12.75">
      <c r="A28" s="9" t="s">
        <v>15</v>
      </c>
      <c r="B28" s="10">
        <v>1.09</v>
      </c>
      <c r="C28" s="13">
        <f>((($C$4/$B$12/B28))*(($C$5/2)*2*3.1457))*(0.000947)</f>
        <v>121.47479514869933</v>
      </c>
      <c r="D28" s="10">
        <f>(B24*B28)</f>
        <v>3.8804000000000003</v>
      </c>
      <c r="E28" s="16">
        <f>ROUND((C27*B24*B28*336)/($C$5),-1)</f>
        <v>4540</v>
      </c>
      <c r="F28" s="16">
        <f>ROUND(((($C$4-E28)/$C$4)*100),0)</f>
        <v>30</v>
      </c>
      <c r="G28" s="33"/>
    </row>
    <row r="29" spans="1:7" ht="12.75">
      <c r="A29" s="9" t="s">
        <v>16</v>
      </c>
      <c r="B29" s="10">
        <v>0.838</v>
      </c>
      <c r="C29" s="15">
        <f>((($C$4/$B$12/B29))*(($C$5/2)*2*3.1457))*(0.000947)</f>
        <v>158.0042084869717</v>
      </c>
      <c r="D29" s="10">
        <f>(B24*B29)</f>
        <v>2.9832799999999997</v>
      </c>
      <c r="E29" s="16">
        <f>ROUND((C28*B24*B29*336)/($C$5),-1)</f>
        <v>4580</v>
      </c>
      <c r="F29" s="16">
        <f>ROUND(((($C$4-E29)/$C$4)*100),0)</f>
        <v>30</v>
      </c>
      <c r="G29" s="33">
        <f>($C$4/C29)*$C$6</f>
        <v>3085.360856322995</v>
      </c>
    </row>
    <row r="30" spans="1:7" ht="12.75">
      <c r="A30" s="9" t="s">
        <v>17</v>
      </c>
      <c r="B30" s="10"/>
      <c r="C30" s="14">
        <f>($C$6*B24*B29*336)/($C$5)</f>
        <v>2826.265263157894</v>
      </c>
      <c r="D30" s="10"/>
      <c r="E30" s="16"/>
      <c r="F30" s="16"/>
      <c r="G30" s="33"/>
    </row>
    <row r="31" spans="1:7" ht="12.75">
      <c r="A31" s="2"/>
      <c r="B31" s="2"/>
      <c r="C31" s="2"/>
      <c r="D31" s="2"/>
      <c r="E31" s="2"/>
      <c r="F31" s="2"/>
      <c r="G31" s="33"/>
    </row>
    <row r="32" spans="1:7" ht="12.75">
      <c r="A32" s="2"/>
      <c r="B32" s="2"/>
      <c r="C32" s="2"/>
      <c r="D32" s="2"/>
      <c r="E32" s="2"/>
      <c r="F32" s="2"/>
      <c r="G32" s="33"/>
    </row>
    <row r="33" spans="1:7" ht="12.75">
      <c r="A33" s="11" t="s">
        <v>5</v>
      </c>
      <c r="B33" s="44" t="s">
        <v>60</v>
      </c>
      <c r="C33" s="12"/>
      <c r="D33" s="8" t="s">
        <v>7</v>
      </c>
      <c r="E33" s="17" t="s">
        <v>25</v>
      </c>
      <c r="F33" s="17" t="s">
        <v>27</v>
      </c>
      <c r="G33" s="33"/>
    </row>
    <row r="34" spans="1:7" ht="12.75">
      <c r="A34" s="41" t="s">
        <v>71</v>
      </c>
      <c r="B34" s="38"/>
      <c r="C34" s="12"/>
      <c r="D34" s="8"/>
      <c r="E34" s="17"/>
      <c r="F34" s="17"/>
      <c r="G34" s="33"/>
    </row>
    <row r="35" spans="1:7" ht="12.75">
      <c r="A35" s="11"/>
      <c r="B35" s="1" t="s">
        <v>8</v>
      </c>
      <c r="C35" s="1" t="s">
        <v>9</v>
      </c>
      <c r="D35" s="1" t="s">
        <v>10</v>
      </c>
      <c r="E35" s="17">
        <f>$C$4</f>
        <v>6500</v>
      </c>
      <c r="F35" s="17" t="s">
        <v>28</v>
      </c>
      <c r="G35" s="33"/>
    </row>
    <row r="36" spans="1:7" ht="12.75">
      <c r="A36" s="11" t="s">
        <v>11</v>
      </c>
      <c r="B36" s="36">
        <v>3.444</v>
      </c>
      <c r="C36" s="13"/>
      <c r="D36" s="1" t="s">
        <v>8</v>
      </c>
      <c r="E36" s="17" t="s">
        <v>26</v>
      </c>
      <c r="F36" s="17"/>
      <c r="G36" s="33"/>
    </row>
    <row r="37" spans="1:7" ht="12.75">
      <c r="A37" s="11" t="s">
        <v>12</v>
      </c>
      <c r="B37" s="10">
        <v>3.818</v>
      </c>
      <c r="C37" s="13">
        <f aca="true" t="shared" si="0" ref="C37:C42">((($C$4/$B$36/B37))*(($C$5/2)*2*3.1457))*(0.000947)</f>
        <v>39.17086912336515</v>
      </c>
      <c r="D37" s="10">
        <f>(B36*B37)</f>
        <v>13.149192</v>
      </c>
      <c r="E37" s="16"/>
      <c r="F37" s="16"/>
      <c r="G37" s="33"/>
    </row>
    <row r="38" spans="1:7" ht="12.75">
      <c r="A38" s="11" t="s">
        <v>13</v>
      </c>
      <c r="B38" s="10">
        <v>2.2</v>
      </c>
      <c r="C38" s="13">
        <f t="shared" si="0"/>
        <v>67.97926286954915</v>
      </c>
      <c r="D38" s="10">
        <f>(B36*B38)</f>
        <v>7.5768</v>
      </c>
      <c r="E38" s="16">
        <f>ROUND((C37*B36*B38*336)/($C$5),-1)</f>
        <v>3750</v>
      </c>
      <c r="F38" s="42">
        <f>ROUND(((($C$4-E38)/$C$4)*100),0)</f>
        <v>42</v>
      </c>
      <c r="G38" s="33"/>
    </row>
    <row r="39" spans="1:7" ht="12.75">
      <c r="A39" s="11" t="s">
        <v>14</v>
      </c>
      <c r="B39" s="10">
        <v>1.516</v>
      </c>
      <c r="C39" s="13">
        <f t="shared" si="0"/>
        <v>98.65064532520327</v>
      </c>
      <c r="D39" s="10">
        <f>(B36*B39)</f>
        <v>5.221104</v>
      </c>
      <c r="E39" s="16">
        <f>ROUND((C38*B36*B39*336)/($C$5),-1)</f>
        <v>4480</v>
      </c>
      <c r="F39" s="16">
        <f>ROUND(((($C$4-E39)/$C$4)*100),0)</f>
        <v>31</v>
      </c>
      <c r="G39" s="33"/>
    </row>
    <row r="40" spans="1:7" ht="12.75">
      <c r="A40" s="11" t="s">
        <v>15</v>
      </c>
      <c r="B40" s="10">
        <v>1.216</v>
      </c>
      <c r="C40" s="13">
        <f t="shared" si="0"/>
        <v>122.98879795477644</v>
      </c>
      <c r="D40" s="10">
        <f>(B36*B40)</f>
        <v>4.187904</v>
      </c>
      <c r="E40" s="16">
        <f>ROUND((C39*B36*B40*336)/($C$5),-1)</f>
        <v>5220</v>
      </c>
      <c r="F40" s="16">
        <f>ROUND(((($C$4-E40)/$C$4)*100),0)</f>
        <v>20</v>
      </c>
      <c r="G40" s="33"/>
    </row>
    <row r="41" spans="1:7" ht="12.75">
      <c r="A41" s="11" t="s">
        <v>16</v>
      </c>
      <c r="B41" s="10">
        <v>1.024</v>
      </c>
      <c r="C41" s="13">
        <f t="shared" si="0"/>
        <v>146.049197571297</v>
      </c>
      <c r="D41" s="10">
        <f>(B36*B41)</f>
        <v>3.526656</v>
      </c>
      <c r="E41" s="16">
        <f>ROUND((C40*B36*B41*336)/($C$5),-1)</f>
        <v>5480</v>
      </c>
      <c r="F41" s="16">
        <f>ROUND(((($C$4-E41)/$C$4)*100),0)</f>
        <v>16</v>
      </c>
      <c r="G41" s="33"/>
    </row>
    <row r="42" spans="1:7" ht="12.75">
      <c r="A42" s="41" t="s">
        <v>29</v>
      </c>
      <c r="B42" s="10">
        <v>0.841</v>
      </c>
      <c r="C42" s="15">
        <f t="shared" si="0"/>
        <v>177.82922510464704</v>
      </c>
      <c r="D42" s="10">
        <f>(B36*B42)</f>
        <v>2.896404</v>
      </c>
      <c r="E42" s="16">
        <f>ROUND((C41*B37*B42*336)/($C$5),-1)</f>
        <v>5920</v>
      </c>
      <c r="F42" s="16">
        <f>ROUND(((($C$4-E42)/$C$4)*100),0)</f>
        <v>9</v>
      </c>
      <c r="G42" s="33">
        <f>($C$4/C42)*$C$6</f>
        <v>2741.3941646156377</v>
      </c>
    </row>
    <row r="43" spans="1:7" ht="12.75">
      <c r="A43" s="9" t="s">
        <v>17</v>
      </c>
      <c r="B43" s="12"/>
      <c r="C43" s="14">
        <f>($C$6*B36*B41*336)/($C$5)</f>
        <v>3341.0425263157895</v>
      </c>
      <c r="D43" s="10"/>
      <c r="E43" s="16"/>
      <c r="F43" s="16"/>
      <c r="G43" s="33"/>
    </row>
    <row r="44" spans="1:7" ht="12.75">
      <c r="A44" s="2"/>
      <c r="B44" s="2"/>
      <c r="C44" s="2"/>
      <c r="D44" s="2"/>
      <c r="E44" s="2"/>
      <c r="F44" s="2"/>
      <c r="G44" s="3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G4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2.421875" style="0" customWidth="1"/>
    <col min="2" max="2" width="14.140625" style="0" customWidth="1"/>
    <col min="3" max="3" width="12.57421875" style="0" customWidth="1"/>
    <col min="4" max="4" width="14.140625" style="0" customWidth="1"/>
    <col min="5" max="5" width="14.28125" style="0" customWidth="1"/>
    <col min="6" max="6" width="16.57421875" style="0" customWidth="1"/>
  </cols>
  <sheetData>
    <row r="2" ht="12.75">
      <c r="B2" t="s">
        <v>56</v>
      </c>
    </row>
    <row r="4" spans="1:7" ht="12.75">
      <c r="A4" s="4" t="s">
        <v>2</v>
      </c>
      <c r="B4" s="6"/>
      <c r="C4" s="7">
        <v>6500</v>
      </c>
      <c r="D4" s="7"/>
      <c r="E4" s="7"/>
      <c r="F4" s="7"/>
      <c r="G4" s="33"/>
    </row>
    <row r="5" spans="1:7" ht="12.75">
      <c r="A5" s="4" t="s">
        <v>3</v>
      </c>
      <c r="B5" s="6"/>
      <c r="C5" s="7">
        <v>26.6</v>
      </c>
      <c r="D5" s="7"/>
      <c r="E5" s="7"/>
      <c r="F5" s="7"/>
      <c r="G5" s="35" t="s">
        <v>54</v>
      </c>
    </row>
    <row r="6" spans="1:7" ht="12.75">
      <c r="A6" s="4" t="s">
        <v>4</v>
      </c>
      <c r="B6" s="6"/>
      <c r="C6" s="7">
        <v>75</v>
      </c>
      <c r="D6" s="7"/>
      <c r="E6" s="7"/>
      <c r="F6" s="7"/>
      <c r="G6" s="35" t="s">
        <v>55</v>
      </c>
    </row>
    <row r="7" spans="1:7" ht="12.75">
      <c r="A7" s="2"/>
      <c r="B7" s="2"/>
      <c r="C7" s="2"/>
      <c r="D7" s="2"/>
      <c r="E7" s="2"/>
      <c r="F7" s="2"/>
      <c r="G7" s="33"/>
    </row>
    <row r="8" spans="1:7" ht="12.75">
      <c r="A8" s="2"/>
      <c r="B8" s="2"/>
      <c r="C8" s="2"/>
      <c r="D8" s="2"/>
      <c r="E8" s="2"/>
      <c r="F8" s="2"/>
      <c r="G8" s="33"/>
    </row>
    <row r="9" spans="1:7" ht="12.75">
      <c r="A9" s="9" t="s">
        <v>5</v>
      </c>
      <c r="B9" s="39" t="s">
        <v>57</v>
      </c>
      <c r="C9" s="12"/>
      <c r="D9" s="8" t="s">
        <v>7</v>
      </c>
      <c r="E9" s="17" t="s">
        <v>25</v>
      </c>
      <c r="F9" s="17" t="s">
        <v>27</v>
      </c>
      <c r="G9" s="33"/>
    </row>
    <row r="10" spans="1:7" ht="12.75">
      <c r="A10" s="40" t="s">
        <v>59</v>
      </c>
      <c r="B10" s="39"/>
      <c r="C10" s="12"/>
      <c r="D10" s="8"/>
      <c r="E10" s="17"/>
      <c r="F10" s="17"/>
      <c r="G10" s="33"/>
    </row>
    <row r="11" spans="1:7" ht="12.75">
      <c r="A11" s="9"/>
      <c r="B11" s="1" t="s">
        <v>8</v>
      </c>
      <c r="C11" s="1" t="s">
        <v>9</v>
      </c>
      <c r="D11" s="1" t="s">
        <v>10</v>
      </c>
      <c r="E11" s="17">
        <f>$C$4</f>
        <v>6500</v>
      </c>
      <c r="F11" s="17" t="s">
        <v>28</v>
      </c>
      <c r="G11" s="33"/>
    </row>
    <row r="12" spans="1:7" ht="12.75">
      <c r="A12" s="9" t="s">
        <v>11</v>
      </c>
      <c r="B12" s="36">
        <v>3.556</v>
      </c>
      <c r="C12" s="13"/>
      <c r="D12" s="1" t="s">
        <v>8</v>
      </c>
      <c r="E12" s="17" t="s">
        <v>26</v>
      </c>
      <c r="F12" s="17"/>
      <c r="G12" s="33"/>
    </row>
    <row r="13" spans="1:7" ht="12.75">
      <c r="A13" s="9" t="s">
        <v>12</v>
      </c>
      <c r="B13" s="10">
        <v>3.5</v>
      </c>
      <c r="C13" s="13">
        <f>((($C$4/$B$12/B13))*(($C$5/2)*2*3.1457))*(0.000947)</f>
        <v>41.384001197975266</v>
      </c>
      <c r="D13" s="10">
        <f>(B12*B13)</f>
        <v>12.446</v>
      </c>
      <c r="E13" s="16"/>
      <c r="F13" s="16"/>
      <c r="G13" s="33"/>
    </row>
    <row r="14" spans="1:7" ht="12.75">
      <c r="A14" s="9" t="s">
        <v>13</v>
      </c>
      <c r="B14" s="10">
        <v>2.118</v>
      </c>
      <c r="C14" s="13">
        <f>((($C$4/$B$12/B14))*(($C$5/2)*2*3.1457))*(0.000947)</f>
        <v>68.38715967559651</v>
      </c>
      <c r="D14" s="10">
        <f>(B12*B14)</f>
        <v>7.531607999999999</v>
      </c>
      <c r="E14" s="16">
        <f>ROUND((C13*B12*B14*336)/($C$5),-1)</f>
        <v>3940</v>
      </c>
      <c r="F14" s="16">
        <f>ROUND(((($C$4-E14)/$C$4)*100),0)</f>
        <v>39</v>
      </c>
      <c r="G14" s="33"/>
    </row>
    <row r="15" spans="1:7" ht="12.75">
      <c r="A15" s="9" t="s">
        <v>14</v>
      </c>
      <c r="B15" s="37">
        <v>1.429</v>
      </c>
      <c r="C15" s="13">
        <f>((($C$4/$B$12/B15))*(($C$5/2)*2*3.1457))*(0.000947)</f>
        <v>101.36039481659441</v>
      </c>
      <c r="D15" s="10">
        <f>(B12*B15)</f>
        <v>5.081524</v>
      </c>
      <c r="E15" s="16">
        <f>ROUND((C14*B12*B15*336)/($C$5),-1)</f>
        <v>4390</v>
      </c>
      <c r="F15" s="16">
        <f>ROUND(((($C$4-E15)/$C$4)*100),0)</f>
        <v>32</v>
      </c>
      <c r="G15" s="33"/>
    </row>
    <row r="16" spans="1:7" ht="12.75">
      <c r="A16" s="9" t="s">
        <v>15</v>
      </c>
      <c r="B16" s="10">
        <v>1.091</v>
      </c>
      <c r="C16" s="13">
        <f>((($C$4/$B$12/B16))*(($C$5/2)*2*3.1457))*(0.000947)</f>
        <v>132.76260695959064</v>
      </c>
      <c r="D16" s="10">
        <f>(B12*B16)</f>
        <v>3.879596</v>
      </c>
      <c r="E16" s="16">
        <f>ROUND((C15*B12*B16*336)/($C$5),-1)</f>
        <v>4970</v>
      </c>
      <c r="F16" s="16">
        <f>ROUND(((($C$4-E16)/$C$4)*100),0)</f>
        <v>24</v>
      </c>
      <c r="G16" s="33"/>
    </row>
    <row r="17" spans="1:7" ht="12.75">
      <c r="A17" s="9" t="s">
        <v>16</v>
      </c>
      <c r="B17" s="10">
        <v>0.838</v>
      </c>
      <c r="C17" s="15">
        <f>((($C$4/$B$12/B17))*(($C$5/2)*2*3.1457))*(0.000947)</f>
        <v>172.84487373856015</v>
      </c>
      <c r="D17" s="10">
        <f>(B12*B17)</f>
        <v>2.979928</v>
      </c>
      <c r="E17" s="16">
        <f>ROUND((C16*B12*B17*336)/($C$5),-1)</f>
        <v>5000</v>
      </c>
      <c r="F17" s="16">
        <f>ROUND(((($C$4-E17)/$C$4)*100),0)</f>
        <v>23</v>
      </c>
      <c r="G17" s="33">
        <f>($C$4/C17)*$C$6</f>
        <v>2820.4481247004032</v>
      </c>
    </row>
    <row r="18" spans="1:7" ht="12.75">
      <c r="A18" s="9" t="s">
        <v>17</v>
      </c>
      <c r="B18" s="10"/>
      <c r="C18" s="14">
        <f>($C$6*B12*B17*336)/($C$5)</f>
        <v>2823.0896842105262</v>
      </c>
      <c r="D18" s="10"/>
      <c r="E18" s="16"/>
      <c r="F18" s="16"/>
      <c r="G18" s="33"/>
    </row>
    <row r="19" spans="1:7" ht="12.75">
      <c r="A19" s="9"/>
      <c r="B19" s="10"/>
      <c r="C19" s="14"/>
      <c r="D19" s="10"/>
      <c r="E19" s="16"/>
      <c r="F19" s="16"/>
      <c r="G19" s="33"/>
    </row>
    <row r="20" spans="1:7" ht="12.75">
      <c r="A20" s="9"/>
      <c r="B20" s="10"/>
      <c r="C20" s="14"/>
      <c r="D20" s="10"/>
      <c r="E20" s="16"/>
      <c r="F20" s="16"/>
      <c r="G20" s="33"/>
    </row>
    <row r="21" spans="1:7" ht="12.75">
      <c r="A21" s="2"/>
      <c r="B21" s="2"/>
      <c r="C21" s="2"/>
      <c r="D21" s="2"/>
      <c r="E21" s="2"/>
      <c r="F21" s="2"/>
      <c r="G21" s="33"/>
    </row>
    <row r="22" spans="1:7" ht="12.75">
      <c r="A22" s="2"/>
      <c r="B22" s="2"/>
      <c r="C22" s="2"/>
      <c r="D22" s="2"/>
      <c r="E22" s="2"/>
      <c r="F22" s="2"/>
      <c r="G22" s="33"/>
    </row>
    <row r="23" spans="1:7" ht="12.75">
      <c r="A23" s="11" t="s">
        <v>5</v>
      </c>
      <c r="B23" s="44" t="s">
        <v>60</v>
      </c>
      <c r="C23" s="12"/>
      <c r="D23" s="8" t="s">
        <v>7</v>
      </c>
      <c r="E23" s="17" t="s">
        <v>25</v>
      </c>
      <c r="F23" s="17" t="s">
        <v>27</v>
      </c>
      <c r="G23" s="33"/>
    </row>
    <row r="24" spans="1:7" ht="12.75">
      <c r="A24" s="41" t="s">
        <v>58</v>
      </c>
      <c r="B24" s="38"/>
      <c r="C24" s="12"/>
      <c r="D24" s="8"/>
      <c r="E24" s="17"/>
      <c r="F24" s="17"/>
      <c r="G24" s="33"/>
    </row>
    <row r="25" spans="1:7" ht="12.75">
      <c r="A25" s="11"/>
      <c r="B25" s="1" t="s">
        <v>8</v>
      </c>
      <c r="C25" s="1" t="s">
        <v>9</v>
      </c>
      <c r="D25" s="1" t="s">
        <v>10</v>
      </c>
      <c r="E25" s="17">
        <f>$C$4</f>
        <v>6500</v>
      </c>
      <c r="F25" s="17" t="s">
        <v>28</v>
      </c>
      <c r="G25" s="33"/>
    </row>
    <row r="26" spans="1:7" ht="12.75">
      <c r="A26" s="11" t="s">
        <v>11</v>
      </c>
      <c r="B26" s="36">
        <v>3.875</v>
      </c>
      <c r="C26" s="13"/>
      <c r="D26" s="1" t="s">
        <v>8</v>
      </c>
      <c r="E26" s="17" t="s">
        <v>26</v>
      </c>
      <c r="F26" s="17"/>
      <c r="G26" s="33"/>
    </row>
    <row r="27" spans="1:7" ht="12.75">
      <c r="A27" s="11" t="s">
        <v>12</v>
      </c>
      <c r="B27" s="10">
        <v>3.667</v>
      </c>
      <c r="C27" s="13">
        <f aca="true" t="shared" si="0" ref="C27:C32">((($C$4/$B$26/B27))*(($C$5/2)*2*3.1457))*(0.000947)</f>
        <v>36.24763348153102</v>
      </c>
      <c r="D27" s="10">
        <f>(B26*B27)</f>
        <v>14.209624999999999</v>
      </c>
      <c r="E27" s="16"/>
      <c r="F27" s="16"/>
      <c r="G27" s="33"/>
    </row>
    <row r="28" spans="1:7" ht="12.75">
      <c r="A28" s="11" t="s">
        <v>13</v>
      </c>
      <c r="B28" s="10">
        <v>2.05</v>
      </c>
      <c r="C28" s="13">
        <f t="shared" si="0"/>
        <v>64.83905950086547</v>
      </c>
      <c r="D28" s="10">
        <f>(B26*B28)</f>
        <v>7.94375</v>
      </c>
      <c r="E28" s="16">
        <f>ROUND((C27*B26*B28*336)/($C$5),-1)</f>
        <v>3640</v>
      </c>
      <c r="F28" s="42">
        <f>ROUND(((($C$4-E28)/$C$4)*100),0)</f>
        <v>44</v>
      </c>
      <c r="G28" s="33"/>
    </row>
    <row r="29" spans="1:7" ht="12.75">
      <c r="A29" s="11" t="s">
        <v>14</v>
      </c>
      <c r="B29" s="10">
        <v>1.407</v>
      </c>
      <c r="C29" s="13">
        <f t="shared" si="0"/>
        <v>94.47055577595893</v>
      </c>
      <c r="D29" s="10">
        <f>(B26*B29)</f>
        <v>5.4521250000000006</v>
      </c>
      <c r="E29" s="16">
        <f>ROUND((C28*B26*B29*336)/($C$5),-1)</f>
        <v>4470</v>
      </c>
      <c r="F29" s="16">
        <f>ROUND(((($C$4-E29)/$C$4)*100),0)</f>
        <v>31</v>
      </c>
      <c r="G29" s="33"/>
    </row>
    <row r="30" spans="1:7" ht="12.75">
      <c r="A30" s="11" t="s">
        <v>15</v>
      </c>
      <c r="B30" s="10">
        <v>1.133</v>
      </c>
      <c r="C30" s="13">
        <f t="shared" si="0"/>
        <v>117.31692142698519</v>
      </c>
      <c r="D30" s="10">
        <f>(B26*B30)</f>
        <v>4.390375</v>
      </c>
      <c r="E30" s="16">
        <f>ROUND((C29*B26*B30*336)/($C$5),-1)</f>
        <v>5240</v>
      </c>
      <c r="F30" s="16">
        <f>ROUND(((($C$4-E30)/$C$4)*100),0)</f>
        <v>19</v>
      </c>
      <c r="G30" s="33"/>
    </row>
    <row r="31" spans="1:7" ht="12.75">
      <c r="A31" s="11" t="s">
        <v>16</v>
      </c>
      <c r="B31" s="10">
        <v>0.972</v>
      </c>
      <c r="C31" s="13">
        <f t="shared" si="0"/>
        <v>136.7490452435949</v>
      </c>
      <c r="D31" s="10">
        <f>(B26*B31)</f>
        <v>3.7664999999999997</v>
      </c>
      <c r="E31" s="16">
        <f>ROUND((C30*B26*B31*336)/($C$5),-1)</f>
        <v>5580</v>
      </c>
      <c r="F31" s="16">
        <f>ROUND(((($C$4-E31)/$C$4)*100),0)</f>
        <v>14</v>
      </c>
      <c r="G31" s="33"/>
    </row>
    <row r="32" spans="1:7" ht="12.75">
      <c r="A32" s="41" t="s">
        <v>29</v>
      </c>
      <c r="B32" s="10">
        <v>0.822</v>
      </c>
      <c r="C32" s="15">
        <f t="shared" si="0"/>
        <v>161.7032505800173</v>
      </c>
      <c r="D32" s="10">
        <f>(B26*B32)</f>
        <v>3.18525</v>
      </c>
      <c r="E32" s="16">
        <f>ROUND((C31*B27*B32*336)/($C$5),-1)</f>
        <v>5210</v>
      </c>
      <c r="F32" s="16">
        <f>ROUND(((($C$4-E32)/$C$4)*100),0)</f>
        <v>20</v>
      </c>
      <c r="G32" s="33">
        <f>($C$4/C32)*$C$6</f>
        <v>3014.7816958000194</v>
      </c>
    </row>
    <row r="33" spans="1:7" ht="12.75">
      <c r="A33" s="9" t="s">
        <v>17</v>
      </c>
      <c r="B33" s="12"/>
      <c r="C33" s="14">
        <f>($C$6*B26*B31*336)/($C$5)</f>
        <v>3568.2631578947367</v>
      </c>
      <c r="D33" s="10"/>
      <c r="E33" s="16"/>
      <c r="F33" s="16"/>
      <c r="G33" s="33"/>
    </row>
    <row r="34" spans="1:7" ht="12.75">
      <c r="A34" s="2"/>
      <c r="B34" s="2"/>
      <c r="C34" s="2"/>
      <c r="D34" s="2"/>
      <c r="E34" s="2"/>
      <c r="F34" s="2"/>
      <c r="G34" s="33"/>
    </row>
    <row r="36" spans="1:7" ht="12.75">
      <c r="A36" s="11" t="s">
        <v>5</v>
      </c>
      <c r="B36" s="44" t="s">
        <v>61</v>
      </c>
      <c r="C36" s="12"/>
      <c r="D36" s="8" t="s">
        <v>7</v>
      </c>
      <c r="E36" s="17" t="s">
        <v>25</v>
      </c>
      <c r="F36" s="17" t="s">
        <v>27</v>
      </c>
      <c r="G36" s="33"/>
    </row>
    <row r="37" spans="1:7" ht="12.75">
      <c r="A37" s="41" t="s">
        <v>58</v>
      </c>
      <c r="B37" s="38"/>
      <c r="C37" s="12"/>
      <c r="D37" s="8"/>
      <c r="E37" s="17"/>
      <c r="F37" s="17"/>
      <c r="G37" s="33"/>
    </row>
    <row r="38" spans="1:7" ht="12.75">
      <c r="A38" s="11"/>
      <c r="B38" s="1" t="s">
        <v>8</v>
      </c>
      <c r="C38" s="1" t="s">
        <v>9</v>
      </c>
      <c r="D38" s="1" t="s">
        <v>10</v>
      </c>
      <c r="E38" s="17">
        <f>$C$4</f>
        <v>6500</v>
      </c>
      <c r="F38" s="17" t="s">
        <v>28</v>
      </c>
      <c r="G38" s="33"/>
    </row>
    <row r="39" spans="1:7" ht="12.75">
      <c r="A39" s="11" t="s">
        <v>11</v>
      </c>
      <c r="B39" s="36">
        <v>3.875</v>
      </c>
      <c r="C39" s="13"/>
      <c r="D39" s="1" t="s">
        <v>8</v>
      </c>
      <c r="E39" s="17" t="s">
        <v>26</v>
      </c>
      <c r="F39" s="17"/>
      <c r="G39" s="33"/>
    </row>
    <row r="40" spans="1:7" ht="12.75">
      <c r="A40" s="11" t="s">
        <v>12</v>
      </c>
      <c r="B40" s="10">
        <v>3.307</v>
      </c>
      <c r="C40" s="13">
        <f aca="true" t="shared" si="1" ref="C40:C45">((($C$4/$B$26/B40))*(($C$5/2)*2*3.1457))*(0.000947)</f>
        <v>40.19355064311286</v>
      </c>
      <c r="D40" s="10">
        <f>(B39*B40)</f>
        <v>12.814625</v>
      </c>
      <c r="E40" s="16"/>
      <c r="F40" s="16"/>
      <c r="G40" s="33"/>
    </row>
    <row r="41" spans="1:7" ht="12.75">
      <c r="A41" s="11" t="s">
        <v>13</v>
      </c>
      <c r="B41" s="10">
        <v>1.95</v>
      </c>
      <c r="C41" s="13">
        <f t="shared" si="1"/>
        <v>68.16413947526883</v>
      </c>
      <c r="D41" s="10">
        <f>(B39*B41)</f>
        <v>7.5562499999999995</v>
      </c>
      <c r="E41" s="16">
        <f>ROUND((C40*B39*B41*336)/($C$5),-1)</f>
        <v>3840</v>
      </c>
      <c r="F41" s="42">
        <f>ROUND(((($C$4-E41)/$C$4)*100),0)</f>
        <v>41</v>
      </c>
      <c r="G41" s="33"/>
    </row>
    <row r="42" spans="1:7" ht="12.75">
      <c r="A42" s="11" t="s">
        <v>14</v>
      </c>
      <c r="B42" s="10">
        <v>1.407</v>
      </c>
      <c r="C42" s="13">
        <f t="shared" si="1"/>
        <v>94.47055577595893</v>
      </c>
      <c r="D42" s="10">
        <f>(B39*B42)</f>
        <v>5.4521250000000006</v>
      </c>
      <c r="E42" s="16">
        <f>ROUND((C41*B39*B42*336)/($C$5),-1)</f>
        <v>4690</v>
      </c>
      <c r="F42" s="16">
        <f>ROUND(((($C$4-E42)/$C$4)*100),0)</f>
        <v>28</v>
      </c>
      <c r="G42" s="33"/>
    </row>
    <row r="43" spans="1:7" ht="12.75">
      <c r="A43" s="11" t="s">
        <v>15</v>
      </c>
      <c r="B43" s="10">
        <v>1.133</v>
      </c>
      <c r="C43" s="13">
        <f t="shared" si="1"/>
        <v>117.31692142698519</v>
      </c>
      <c r="D43" s="10">
        <f>(B39*B43)</f>
        <v>4.390375</v>
      </c>
      <c r="E43" s="16">
        <f>ROUND((C42*B39*B43*336)/($C$5),-1)</f>
        <v>5240</v>
      </c>
      <c r="F43" s="16">
        <f>ROUND(((($C$4-E43)/$C$4)*100),0)</f>
        <v>19</v>
      </c>
      <c r="G43" s="33"/>
    </row>
    <row r="44" spans="1:7" ht="12.75">
      <c r="A44" s="11" t="s">
        <v>16</v>
      </c>
      <c r="B44" s="10">
        <v>0.972</v>
      </c>
      <c r="C44" s="13">
        <f t="shared" si="1"/>
        <v>136.7490452435949</v>
      </c>
      <c r="D44" s="10">
        <f>(B39*B44)</f>
        <v>3.7664999999999997</v>
      </c>
      <c r="E44" s="16">
        <f>ROUND((C43*B39*B44*336)/($C$5),-1)</f>
        <v>5580</v>
      </c>
      <c r="F44" s="16">
        <f>ROUND(((($C$4-E44)/$C$4)*100),0)</f>
        <v>14</v>
      </c>
      <c r="G44" s="33"/>
    </row>
    <row r="45" spans="1:7" ht="12.75">
      <c r="A45" s="41" t="s">
        <v>29</v>
      </c>
      <c r="B45" s="10">
        <v>0.822</v>
      </c>
      <c r="C45" s="15">
        <f t="shared" si="1"/>
        <v>161.7032505800173</v>
      </c>
      <c r="D45" s="10">
        <f>(B39*B45)</f>
        <v>3.18525</v>
      </c>
      <c r="E45" s="16">
        <f>ROUND((C44*B40*B45*336)/($C$5),-1)</f>
        <v>4700</v>
      </c>
      <c r="F45" s="16">
        <f>ROUND(((($C$4-E45)/$C$4)*100),0)</f>
        <v>28</v>
      </c>
      <c r="G45" s="33">
        <f>($C$4/C45)*$C$6</f>
        <v>3014.7816958000194</v>
      </c>
    </row>
    <row r="46" spans="1:7" ht="12.75">
      <c r="A46" s="9" t="s">
        <v>17</v>
      </c>
      <c r="B46" s="12"/>
      <c r="C46" s="14">
        <f>($C$6*B39*B44*336)/($C$5)</f>
        <v>3568.2631578947367</v>
      </c>
      <c r="D46" s="10"/>
      <c r="E46" s="16"/>
      <c r="F46" s="16"/>
      <c r="G46" s="33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6.57421875" style="0" customWidth="1"/>
    <col min="2" max="2" width="10.00390625" style="0" customWidth="1"/>
    <col min="3" max="3" width="13.00390625" style="0" customWidth="1"/>
    <col min="4" max="4" width="11.140625" style="0" customWidth="1"/>
    <col min="5" max="6" width="13.140625" style="0" customWidth="1"/>
  </cols>
  <sheetData>
    <row r="2" spans="2:6" ht="12.75">
      <c r="B2" s="45" t="s">
        <v>62</v>
      </c>
      <c r="F2" s="46"/>
    </row>
    <row r="4" spans="1:7" ht="12.75">
      <c r="A4" s="4" t="s">
        <v>2</v>
      </c>
      <c r="B4" s="6"/>
      <c r="C4" s="7">
        <v>6500</v>
      </c>
      <c r="D4" s="7"/>
      <c r="E4" s="7"/>
      <c r="F4" s="7"/>
      <c r="G4" s="33"/>
    </row>
    <row r="5" spans="1:7" ht="12.75">
      <c r="A5" s="4" t="s">
        <v>3</v>
      </c>
      <c r="B5" s="6"/>
      <c r="C5" s="7">
        <v>26.6</v>
      </c>
      <c r="D5" s="7"/>
      <c r="E5" s="7"/>
      <c r="F5" s="7"/>
      <c r="G5" s="35" t="s">
        <v>54</v>
      </c>
    </row>
    <row r="6" spans="1:7" ht="12.75">
      <c r="A6" s="4" t="s">
        <v>4</v>
      </c>
      <c r="B6" s="6"/>
      <c r="C6" s="7">
        <v>75</v>
      </c>
      <c r="D6" s="7"/>
      <c r="E6" s="7"/>
      <c r="F6" s="7"/>
      <c r="G6" s="35" t="s">
        <v>55</v>
      </c>
    </row>
    <row r="7" spans="1:7" ht="12.75">
      <c r="A7" s="2"/>
      <c r="B7" s="2"/>
      <c r="C7" s="2"/>
      <c r="D7" s="2"/>
      <c r="E7" s="2"/>
      <c r="F7" s="2"/>
      <c r="G7" s="33"/>
    </row>
    <row r="8" spans="1:7" ht="12.75">
      <c r="A8" s="2"/>
      <c r="B8" s="2"/>
      <c r="C8" s="2"/>
      <c r="D8" s="2"/>
      <c r="E8" s="2"/>
      <c r="F8" s="2"/>
      <c r="G8" s="33"/>
    </row>
    <row r="9" spans="1:7" ht="12.75">
      <c r="A9" s="9" t="s">
        <v>5</v>
      </c>
      <c r="B9" s="47" t="s">
        <v>66</v>
      </c>
      <c r="C9" s="12"/>
      <c r="D9" s="8" t="s">
        <v>7</v>
      </c>
      <c r="E9" s="17" t="s">
        <v>25</v>
      </c>
      <c r="F9" s="17" t="s">
        <v>27</v>
      </c>
      <c r="G9" s="33"/>
    </row>
    <row r="10" spans="1:7" ht="12.75">
      <c r="A10" s="40" t="s">
        <v>64</v>
      </c>
      <c r="B10" s="39"/>
      <c r="C10" s="12"/>
      <c r="D10" s="8"/>
      <c r="E10" s="17"/>
      <c r="F10" s="17"/>
      <c r="G10" s="33"/>
    </row>
    <row r="11" spans="1:7" ht="12.75">
      <c r="A11" s="9"/>
      <c r="B11" s="1" t="s">
        <v>8</v>
      </c>
      <c r="C11" s="1" t="s">
        <v>9</v>
      </c>
      <c r="D11" s="1" t="s">
        <v>10</v>
      </c>
      <c r="E11" s="17">
        <f>$C$4</f>
        <v>6500</v>
      </c>
      <c r="F11" s="17" t="s">
        <v>28</v>
      </c>
      <c r="G11" s="33"/>
    </row>
    <row r="12" spans="1:7" ht="12.75">
      <c r="A12" s="9" t="s">
        <v>11</v>
      </c>
      <c r="B12" s="10">
        <v>4</v>
      </c>
      <c r="C12" s="13"/>
      <c r="D12" s="1" t="s">
        <v>8</v>
      </c>
      <c r="E12" s="17" t="s">
        <v>26</v>
      </c>
      <c r="F12" s="17"/>
      <c r="G12" s="33"/>
    </row>
    <row r="13" spans="1:7" ht="12.75">
      <c r="A13" s="9" t="s">
        <v>12</v>
      </c>
      <c r="B13" s="10">
        <v>2.25</v>
      </c>
      <c r="C13" s="13">
        <f>((($C$4/$B$12/B13))*(($C$5/2)*2*3.1457))*(0.000947)</f>
        <v>57.229475434444446</v>
      </c>
      <c r="D13" s="10">
        <f>(B12*B13)</f>
        <v>9</v>
      </c>
      <c r="E13" s="16"/>
      <c r="F13" s="16"/>
      <c r="G13" s="33"/>
    </row>
    <row r="14" spans="1:7" ht="12.75">
      <c r="A14" s="9" t="s">
        <v>13</v>
      </c>
      <c r="B14" s="10">
        <v>1.304</v>
      </c>
      <c r="C14" s="13">
        <f>((($C$4/$B$12/B14))*(($C$5/2)*2*3.1457))*(0.000947)</f>
        <v>98.74717770513804</v>
      </c>
      <c r="D14" s="10">
        <f>(B12*B14)</f>
        <v>5.216</v>
      </c>
      <c r="E14" s="16">
        <f>ROUND((C13*B12*B14*336)/($C$5),-1)</f>
        <v>3770</v>
      </c>
      <c r="F14" s="16">
        <f>ROUND(((($C$4-E14)/$C$4)*100),0)</f>
        <v>42</v>
      </c>
      <c r="G14" s="33"/>
    </row>
    <row r="15" spans="1:7" ht="12.75">
      <c r="A15" s="9" t="s">
        <v>14</v>
      </c>
      <c r="B15" s="37">
        <v>0.893</v>
      </c>
      <c r="C15" s="13">
        <f>((($C$4/$B$12/B15))*(($C$5/2)*2*3.1457))*(0.000947)</f>
        <v>144.19520686170216</v>
      </c>
      <c r="D15" s="10">
        <f>(B12*B15)</f>
        <v>3.572</v>
      </c>
      <c r="E15" s="16">
        <f>ROUND((C14*B12*B15*336)/($C$5),-1)</f>
        <v>4460</v>
      </c>
      <c r="F15" s="16">
        <f>ROUND(((($C$4-E15)/$C$4)*100),0)</f>
        <v>31</v>
      </c>
      <c r="G15" s="33"/>
    </row>
    <row r="16" spans="1:7" ht="12.75">
      <c r="A16" s="40" t="s">
        <v>15</v>
      </c>
      <c r="B16" s="10">
        <v>0.656</v>
      </c>
      <c r="C16" s="15">
        <f>((($C$4/$B$12/B16))*(($C$5/2)*2*3.1457))*(0.000947)</f>
        <v>196.2901215358232</v>
      </c>
      <c r="D16" s="10">
        <f>(B12*B16)</f>
        <v>2.624</v>
      </c>
      <c r="E16" s="16">
        <f>ROUND((C15*B13*B16*336)/($C$5),-1)</f>
        <v>2690</v>
      </c>
      <c r="F16" s="16">
        <f>ROUND(((($C$4-E16)/$C$4)*100),0)</f>
        <v>59</v>
      </c>
      <c r="G16" s="33">
        <f>($C$4/C16)*$C$6</f>
        <v>2483.5686899864218</v>
      </c>
    </row>
    <row r="17" spans="1:7" ht="12.75">
      <c r="A17" s="9" t="s">
        <v>17</v>
      </c>
      <c r="B17" s="10"/>
      <c r="C17" s="14">
        <f>($C$6*B12*B16*336)/($C$5)</f>
        <v>2485.8947368421054</v>
      </c>
      <c r="D17" s="10"/>
      <c r="E17" s="16"/>
      <c r="F17" s="16"/>
      <c r="G17" s="33"/>
    </row>
    <row r="18" spans="1:7" ht="12.75">
      <c r="A18" s="9"/>
      <c r="B18" s="10"/>
      <c r="C18" s="14"/>
      <c r="D18" s="10"/>
      <c r="E18" s="16"/>
      <c r="F18" s="16"/>
      <c r="G18" s="33"/>
    </row>
    <row r="19" spans="1:7" ht="12.75">
      <c r="A19" s="9"/>
      <c r="B19" s="10"/>
      <c r="C19" s="14"/>
      <c r="D19" s="10"/>
      <c r="E19" s="16"/>
      <c r="F19" s="16"/>
      <c r="G19" s="33"/>
    </row>
    <row r="20" spans="1:7" ht="12.75">
      <c r="A20" s="2"/>
      <c r="B20" s="2"/>
      <c r="C20" s="2"/>
      <c r="D20" s="2"/>
      <c r="E20" s="2"/>
      <c r="F20" s="2"/>
      <c r="G20" s="33"/>
    </row>
    <row r="21" spans="1:7" ht="12.75">
      <c r="A21" s="11" t="s">
        <v>5</v>
      </c>
      <c r="B21" s="43" t="s">
        <v>67</v>
      </c>
      <c r="C21" s="12"/>
      <c r="D21" s="8" t="s">
        <v>7</v>
      </c>
      <c r="E21" s="17" t="s">
        <v>25</v>
      </c>
      <c r="F21" s="17" t="s">
        <v>27</v>
      </c>
      <c r="G21" s="33"/>
    </row>
    <row r="22" spans="1:7" ht="12.75">
      <c r="A22" s="41" t="s">
        <v>65</v>
      </c>
      <c r="B22" s="38"/>
      <c r="C22" s="12"/>
      <c r="D22" s="8"/>
      <c r="E22" s="17"/>
      <c r="F22" s="17"/>
      <c r="G22" s="33"/>
    </row>
    <row r="23" spans="1:7" ht="12.75">
      <c r="A23" s="11"/>
      <c r="B23" s="1" t="s">
        <v>8</v>
      </c>
      <c r="C23" s="1" t="s">
        <v>9</v>
      </c>
      <c r="D23" s="1" t="s">
        <v>10</v>
      </c>
      <c r="E23" s="17">
        <f>$C$4</f>
        <v>6500</v>
      </c>
      <c r="F23" s="17" t="s">
        <v>28</v>
      </c>
      <c r="G23" s="33"/>
    </row>
    <row r="24" spans="1:7" ht="12.75">
      <c r="A24" s="11" t="s">
        <v>11</v>
      </c>
      <c r="B24" s="10">
        <v>4.22</v>
      </c>
      <c r="C24" s="13"/>
      <c r="D24" s="1" t="s">
        <v>8</v>
      </c>
      <c r="E24" s="17" t="s">
        <v>26</v>
      </c>
      <c r="F24" s="17"/>
      <c r="G24" s="33"/>
    </row>
    <row r="25" spans="1:7" ht="12.75">
      <c r="A25" s="11" t="s">
        <v>12</v>
      </c>
      <c r="B25" s="10">
        <v>2.25</v>
      </c>
      <c r="C25" s="13">
        <f>((($C$4/$B$24/B25))*(($C$5/2)*2*3.1457))*(0.000947)</f>
        <v>54.24594827909427</v>
      </c>
      <c r="D25" s="10">
        <f>(B24*B25)</f>
        <v>9.495</v>
      </c>
      <c r="E25" s="16"/>
      <c r="F25" s="16"/>
      <c r="G25" s="33"/>
    </row>
    <row r="26" spans="1:7" ht="12.75">
      <c r="A26" s="11" t="s">
        <v>13</v>
      </c>
      <c r="B26" s="10">
        <v>1.304</v>
      </c>
      <c r="C26" s="13">
        <f>((($C$4/$B$24/B26))*(($C$5/2)*2*3.1457))*(0.000947)</f>
        <v>93.59922057359057</v>
      </c>
      <c r="D26" s="10">
        <f>(B24*B26)</f>
        <v>5.50288</v>
      </c>
      <c r="E26" s="16">
        <f>ROUND((C25*B24*B26*336)/($C$5),-1)</f>
        <v>3770</v>
      </c>
      <c r="F26" s="42">
        <f>ROUND(((($C$4-E26)/$C$4)*100),0)</f>
        <v>42</v>
      </c>
      <c r="G26" s="33"/>
    </row>
    <row r="27" spans="1:7" ht="12.75">
      <c r="A27" s="11" t="s">
        <v>14</v>
      </c>
      <c r="B27" s="10">
        <v>0.893</v>
      </c>
      <c r="C27" s="13">
        <f>((($C$4/$B$24/B27))*(($C$5/2)*2*3.1457))*(0.000947)</f>
        <v>136.67792119592622</v>
      </c>
      <c r="D27" s="10">
        <f>(B24*B27)</f>
        <v>3.7684599999999997</v>
      </c>
      <c r="E27" s="16">
        <f>ROUND((C26*B24*B27*336)/($C$5),-1)</f>
        <v>4460</v>
      </c>
      <c r="F27" s="16">
        <f>ROUND(((($C$4-E27)/$C$4)*100),0)</f>
        <v>31</v>
      </c>
      <c r="G27" s="33"/>
    </row>
    <row r="28" spans="1:7" ht="12.75">
      <c r="A28" s="41" t="s">
        <v>63</v>
      </c>
      <c r="B28" s="10">
        <v>0.625</v>
      </c>
      <c r="C28" s="15">
        <f>((($C$4/$B$24/B28))*(($C$5/2)*2*3.1457))*(0.000947)</f>
        <v>195.2854138047394</v>
      </c>
      <c r="D28" s="10">
        <f>(B24*B28)</f>
        <v>2.6374999999999997</v>
      </c>
      <c r="E28" s="16">
        <f>ROUND((C27*B25*B28*336)/($C$5),-1)</f>
        <v>2430</v>
      </c>
      <c r="F28" s="16">
        <f>ROUND(((($C$4-E28)/$C$4)*100),0)</f>
        <v>63</v>
      </c>
      <c r="G28" s="33">
        <f>($C$4/C28)*$C$6</f>
        <v>2496.346196585056</v>
      </c>
    </row>
    <row r="29" spans="1:7" ht="12.75">
      <c r="A29" s="9" t="s">
        <v>17</v>
      </c>
      <c r="B29" s="12"/>
      <c r="C29" s="14">
        <f>($C$6*B24*B28*336)/($C$5)</f>
        <v>2498.684210526316</v>
      </c>
      <c r="D29" s="10"/>
      <c r="E29" s="16"/>
      <c r="F29" s="16"/>
      <c r="G29" s="33"/>
    </row>
    <row r="30" spans="1:7" ht="12.75">
      <c r="A30" s="2"/>
      <c r="B30" s="2"/>
      <c r="C30" s="2"/>
      <c r="D30" s="2"/>
      <c r="E30" s="2"/>
      <c r="F30" s="2"/>
      <c r="G30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8.8515625" style="51" customWidth="1"/>
    <col min="2" max="5" width="9.140625" style="51" customWidth="1"/>
    <col min="6" max="6" width="9.421875" style="51" customWidth="1"/>
    <col min="7" max="11" width="9.140625" style="51" customWidth="1"/>
    <col min="12" max="12" width="16.421875" style="51" customWidth="1"/>
    <col min="13" max="13" width="13.140625" style="51" customWidth="1"/>
    <col min="14" max="14" width="10.00390625" style="51" customWidth="1"/>
    <col min="15" max="16384" width="9.140625" style="51" customWidth="1"/>
  </cols>
  <sheetData>
    <row r="1" spans="1:11" ht="38.25" customHeight="1">
      <c r="A1" s="154" t="s">
        <v>158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4" ht="12.75">
      <c r="A2" s="85" t="s">
        <v>146</v>
      </c>
      <c r="B2" s="84">
        <v>3.1</v>
      </c>
      <c r="C2" s="89" t="s">
        <v>107</v>
      </c>
      <c r="K2" s="90" t="s">
        <v>157</v>
      </c>
      <c r="L2" s="90" t="s">
        <v>145</v>
      </c>
      <c r="M2" s="90" t="s">
        <v>144</v>
      </c>
      <c r="N2" s="90" t="s">
        <v>143</v>
      </c>
    </row>
    <row r="3" spans="1:14" ht="12.75">
      <c r="A3" s="85" t="s">
        <v>104</v>
      </c>
      <c r="B3" s="84">
        <v>3.18</v>
      </c>
      <c r="C3" s="84">
        <f>B3*B2</f>
        <v>9.858</v>
      </c>
      <c r="D3" s="153" t="s">
        <v>142</v>
      </c>
      <c r="E3" s="163"/>
      <c r="F3" s="163"/>
      <c r="K3" s="87">
        <v>1</v>
      </c>
      <c r="L3" s="87">
        <f>ROUND((B22*C3)/G8,0)</f>
        <v>4800</v>
      </c>
      <c r="M3" s="87"/>
      <c r="N3" s="87">
        <f>ROUND(4800+M4,-2)</f>
        <v>6800</v>
      </c>
    </row>
    <row r="4" spans="1:14" ht="12.75">
      <c r="A4" s="85" t="s">
        <v>101</v>
      </c>
      <c r="B4" s="84">
        <v>1.83</v>
      </c>
      <c r="C4" s="84">
        <f>B4*B2</f>
        <v>5.673</v>
      </c>
      <c r="D4" s="142" t="s">
        <v>103</v>
      </c>
      <c r="E4" s="84">
        <v>17</v>
      </c>
      <c r="F4" s="84" t="s">
        <v>102</v>
      </c>
      <c r="K4" s="87">
        <v>2</v>
      </c>
      <c r="L4" s="87">
        <f>ROUND((B22*C4)/G8,0)</f>
        <v>2762</v>
      </c>
      <c r="M4" s="87">
        <f>L3-L4</f>
        <v>2038</v>
      </c>
      <c r="N4" s="87">
        <f>ROUND(4800+M5,-2)</f>
        <v>5700</v>
      </c>
    </row>
    <row r="5" spans="1:14" ht="12.75">
      <c r="A5" s="85" t="s">
        <v>99</v>
      </c>
      <c r="B5" s="84">
        <v>1.26</v>
      </c>
      <c r="C5" s="84">
        <f>B5*B2</f>
        <v>3.906</v>
      </c>
      <c r="D5" s="142" t="s">
        <v>100</v>
      </c>
      <c r="E5" s="84">
        <v>35</v>
      </c>
      <c r="F5" s="84">
        <f>F6*E5/100</f>
        <v>4.616141732283465</v>
      </c>
      <c r="K5" s="87">
        <v>3</v>
      </c>
      <c r="L5" s="87">
        <f>ROUND((B22*C5)/G8,0)</f>
        <v>1902</v>
      </c>
      <c r="M5" s="87">
        <f>L4-L5</f>
        <v>860</v>
      </c>
      <c r="N5" s="87">
        <f>ROUND(4800+M6,-2)</f>
        <v>5200</v>
      </c>
    </row>
    <row r="6" spans="1:14" ht="12.75">
      <c r="A6" s="85" t="s">
        <v>97</v>
      </c>
      <c r="B6" s="84">
        <v>1</v>
      </c>
      <c r="C6" s="84">
        <f>B6*B2</f>
        <v>3.1</v>
      </c>
      <c r="D6" s="142" t="s">
        <v>98</v>
      </c>
      <c r="E6" s="84">
        <v>335</v>
      </c>
      <c r="F6" s="84">
        <f>E6/25.4</f>
        <v>13.188976377952757</v>
      </c>
      <c r="K6" s="87">
        <v>4</v>
      </c>
      <c r="L6" s="87">
        <f>ROUND((B22*C6)/G8,0)</f>
        <v>1509</v>
      </c>
      <c r="M6" s="87">
        <f>L5-L6</f>
        <v>393</v>
      </c>
      <c r="N6" s="87">
        <f>ROUND(4800+M7,-2)</f>
        <v>5100</v>
      </c>
    </row>
    <row r="7" spans="1:14" ht="12.75">
      <c r="A7" s="85" t="s">
        <v>95</v>
      </c>
      <c r="B7" s="84">
        <v>0.82</v>
      </c>
      <c r="C7" s="84">
        <f>B7*B2</f>
        <v>2.542</v>
      </c>
      <c r="D7" s="142" t="s">
        <v>96</v>
      </c>
      <c r="E7" s="84">
        <f>E4+(2*F5)</f>
        <v>26.23228346456693</v>
      </c>
      <c r="F7" s="84"/>
      <c r="K7" s="87">
        <v>5</v>
      </c>
      <c r="L7" s="87">
        <f>ROUND((B22*C7)/G8,0)</f>
        <v>1238</v>
      </c>
      <c r="M7" s="87">
        <f>L6-L7</f>
        <v>271</v>
      </c>
      <c r="N7" s="87"/>
    </row>
    <row r="8" spans="4:7" ht="12.75">
      <c r="D8" s="85" t="s">
        <v>94</v>
      </c>
      <c r="E8" s="84">
        <f>3.1416*E7</f>
        <v>82.41134173228346</v>
      </c>
      <c r="F8" s="86">
        <f>E8/(12*5280)</f>
        <v>0.0013006840551181102</v>
      </c>
      <c r="G8" s="51">
        <f>E8*60/(12*5280)</f>
        <v>0.07804104330708661</v>
      </c>
    </row>
    <row r="9" ht="13.5" thickBot="1"/>
    <row r="10" spans="2:11" ht="17.25" thickBot="1" thickTop="1">
      <c r="B10" s="145" t="s">
        <v>141</v>
      </c>
      <c r="C10" s="146"/>
      <c r="D10" s="146"/>
      <c r="E10" s="146"/>
      <c r="F10" s="146"/>
      <c r="G10" s="146"/>
      <c r="H10" s="146"/>
      <c r="I10" s="146"/>
      <c r="J10" s="146"/>
      <c r="K10" s="156"/>
    </row>
    <row r="11" spans="2:11" ht="13.5" thickTop="1">
      <c r="B11" s="75" t="s">
        <v>77</v>
      </c>
      <c r="C11" s="133">
        <v>1000</v>
      </c>
      <c r="D11" s="133">
        <v>2000</v>
      </c>
      <c r="E11" s="133">
        <v>3000</v>
      </c>
      <c r="F11" s="133">
        <v>4000</v>
      </c>
      <c r="G11" s="133">
        <v>5000</v>
      </c>
      <c r="H11" s="133">
        <v>5500</v>
      </c>
      <c r="I11" s="133">
        <v>6000</v>
      </c>
      <c r="J11" s="133">
        <v>6500</v>
      </c>
      <c r="K11" s="141">
        <v>7000</v>
      </c>
    </row>
    <row r="12" spans="2:11" ht="12.75">
      <c r="B12" s="69" t="s">
        <v>76</v>
      </c>
      <c r="C12" s="54"/>
      <c r="D12" s="54"/>
      <c r="E12" s="54"/>
      <c r="F12" s="54"/>
      <c r="G12" s="54"/>
      <c r="H12" s="54"/>
      <c r="I12" s="54"/>
      <c r="J12" s="54"/>
      <c r="K12" s="140"/>
    </row>
    <row r="13" spans="2:11" ht="12.75">
      <c r="B13" s="129">
        <v>1</v>
      </c>
      <c r="C13" s="52">
        <f>(C11/C3)*G8</f>
        <v>7.916518899075533</v>
      </c>
      <c r="D13" s="52">
        <f>C13*2</f>
        <v>15.833037798151066</v>
      </c>
      <c r="E13" s="52">
        <f>C13*3</f>
        <v>23.7495566972266</v>
      </c>
      <c r="F13" s="52">
        <f>C13*4</f>
        <v>31.666075596302132</v>
      </c>
      <c r="G13" s="52">
        <f>C13*5</f>
        <v>39.58259449537766</v>
      </c>
      <c r="H13" s="52">
        <f>C13*5.5</f>
        <v>43.54085394491543</v>
      </c>
      <c r="I13" s="52">
        <f>C13*6</f>
        <v>47.4991133944532</v>
      </c>
      <c r="J13" s="52">
        <f>C13*6.5</f>
        <v>51.45737284399097</v>
      </c>
      <c r="K13" s="139">
        <f>C13*7</f>
        <v>55.41563229352873</v>
      </c>
    </row>
    <row r="14" spans="2:11" ht="12.75">
      <c r="B14" s="129">
        <v>2</v>
      </c>
      <c r="C14" s="52">
        <f>(C11/C4)*G8</f>
        <v>13.756573824623059</v>
      </c>
      <c r="D14" s="52">
        <f>C14*2</f>
        <v>27.513147649246118</v>
      </c>
      <c r="E14" s="52">
        <f>C14*3</f>
        <v>41.269721473869176</v>
      </c>
      <c r="F14" s="52">
        <f>C14*4</f>
        <v>55.026295298492236</v>
      </c>
      <c r="G14" s="52">
        <f>C14*5</f>
        <v>68.78286912311529</v>
      </c>
      <c r="H14" s="52">
        <f>C14*5.5</f>
        <v>75.66115603542683</v>
      </c>
      <c r="I14" s="52">
        <f>C14*6</f>
        <v>82.53944294773835</v>
      </c>
      <c r="J14" s="52">
        <f>C14*6.5</f>
        <v>89.41772986004989</v>
      </c>
      <c r="K14" s="139">
        <f>C14*7</f>
        <v>96.29601677236141</v>
      </c>
    </row>
    <row r="15" spans="2:11" ht="12.75">
      <c r="B15" s="129">
        <v>3</v>
      </c>
      <c r="C15" s="52">
        <f>(C11/C5)*G8</f>
        <v>19.979785792904917</v>
      </c>
      <c r="D15" s="52">
        <f>C15*2</f>
        <v>39.95957158580983</v>
      </c>
      <c r="E15" s="52">
        <f>C15*3</f>
        <v>59.939357378714746</v>
      </c>
      <c r="F15" s="52">
        <f>C15*4</f>
        <v>79.91914317161967</v>
      </c>
      <c r="G15" s="52">
        <f>C15*5</f>
        <v>99.89892896452459</v>
      </c>
      <c r="H15" s="52">
        <f>C15*5.5</f>
        <v>109.88882186097705</v>
      </c>
      <c r="I15" s="52">
        <f>C15*6</f>
        <v>119.87871475742949</v>
      </c>
      <c r="J15" s="52">
        <f>C15*6.5</f>
        <v>129.86860765388195</v>
      </c>
      <c r="K15" s="139">
        <f>C15*7</f>
        <v>139.8585005503344</v>
      </c>
    </row>
    <row r="16" spans="2:11" ht="12.75">
      <c r="B16" s="129">
        <v>4</v>
      </c>
      <c r="C16" s="52">
        <f>(C11/C6)*G8</f>
        <v>25.174530099060195</v>
      </c>
      <c r="D16" s="52">
        <f>C16*2</f>
        <v>50.34906019812039</v>
      </c>
      <c r="E16" s="52">
        <f>C16*3</f>
        <v>75.52359029718059</v>
      </c>
      <c r="F16" s="52">
        <f>C16*4</f>
        <v>100.69812039624078</v>
      </c>
      <c r="G16" s="52">
        <f>C16*5</f>
        <v>125.87265049530097</v>
      </c>
      <c r="H16" s="52">
        <f>C16*5.5</f>
        <v>138.45991554483106</v>
      </c>
      <c r="I16" s="52">
        <f>C16*6</f>
        <v>151.04718059436118</v>
      </c>
      <c r="J16" s="52">
        <f>C16*6.5</f>
        <v>163.63444564389127</v>
      </c>
      <c r="K16" s="139">
        <f>C16*7</f>
        <v>176.22171069342136</v>
      </c>
    </row>
    <row r="17" spans="2:11" ht="12.75">
      <c r="B17" s="129">
        <v>5</v>
      </c>
      <c r="C17" s="52">
        <f>(C11/C7)*G8</f>
        <v>30.700646462268537</v>
      </c>
      <c r="D17" s="52">
        <f>C17*2</f>
        <v>61.401292924537074</v>
      </c>
      <c r="E17" s="52">
        <f>C17*3</f>
        <v>92.10193938680561</v>
      </c>
      <c r="F17" s="52">
        <f>C17*4</f>
        <v>122.80258584907415</v>
      </c>
      <c r="G17" s="52">
        <f>C17*5</f>
        <v>153.50323231134269</v>
      </c>
      <c r="H17" s="52">
        <f>C17*5.5</f>
        <v>168.85355554247695</v>
      </c>
      <c r="I17" s="52">
        <f>C17*6</f>
        <v>184.20387877361122</v>
      </c>
      <c r="J17" s="52">
        <f>C17*6.5</f>
        <v>199.5542020047455</v>
      </c>
      <c r="K17" s="139">
        <f>C17*7</f>
        <v>214.90452523587976</v>
      </c>
    </row>
    <row r="18" spans="2:11" ht="13.5" thickBot="1">
      <c r="B18" s="138"/>
      <c r="C18" s="125"/>
      <c r="D18" s="125"/>
      <c r="E18" s="125"/>
      <c r="F18" s="125"/>
      <c r="G18" s="125"/>
      <c r="H18" s="125"/>
      <c r="I18" s="125"/>
      <c r="J18" s="125"/>
      <c r="K18" s="137"/>
    </row>
    <row r="19" spans="2:11" ht="14.25" thickBot="1" thickTop="1">
      <c r="B19" s="157" t="s">
        <v>156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ht="14.25" thickBot="1" thickTop="1">
      <c r="B20" s="160" t="s">
        <v>155</v>
      </c>
      <c r="C20" s="161"/>
      <c r="D20" s="161"/>
      <c r="E20" s="161"/>
      <c r="F20" s="161"/>
      <c r="G20" s="161"/>
      <c r="H20" s="161"/>
      <c r="I20" s="161"/>
      <c r="J20" s="161"/>
      <c r="K20" s="162"/>
    </row>
    <row r="21" ht="13.5" thickTop="1"/>
    <row r="22" ht="12.75">
      <c r="B22" s="123">
        <f>C13*4.8</f>
        <v>37.99929071556256</v>
      </c>
    </row>
    <row r="25" spans="2:8" ht="12.75">
      <c r="B25" s="54">
        <v>1000</v>
      </c>
      <c r="C25" s="54">
        <v>2000</v>
      </c>
      <c r="D25" s="54">
        <v>3000</v>
      </c>
      <c r="E25" s="54">
        <v>4000</v>
      </c>
      <c r="F25" s="54">
        <v>5000</v>
      </c>
      <c r="G25" s="54">
        <v>6000</v>
      </c>
      <c r="H25" s="54">
        <v>7000</v>
      </c>
    </row>
    <row r="26" spans="2:8" ht="12.75">
      <c r="B26" s="52">
        <f>C13</f>
        <v>7.916518899075533</v>
      </c>
      <c r="C26" s="52">
        <f>B26*2</f>
        <v>15.833037798151066</v>
      </c>
      <c r="D26" s="52">
        <f>B26*3</f>
        <v>23.7495566972266</v>
      </c>
      <c r="E26" s="52">
        <f>B26*4</f>
        <v>31.666075596302132</v>
      </c>
      <c r="F26" s="52">
        <f>B26*5</f>
        <v>39.58259449537766</v>
      </c>
      <c r="G26" s="52">
        <f>B26*6</f>
        <v>47.4991133944532</v>
      </c>
      <c r="H26" s="52">
        <f>B26*7</f>
        <v>55.41563229352873</v>
      </c>
    </row>
    <row r="27" spans="2:8" ht="12.75">
      <c r="B27" s="52">
        <f>C14</f>
        <v>13.756573824623059</v>
      </c>
      <c r="C27" s="52">
        <f>B27*2</f>
        <v>27.513147649246118</v>
      </c>
      <c r="D27" s="52">
        <f>B27*3</f>
        <v>41.269721473869176</v>
      </c>
      <c r="E27" s="52">
        <f>B27*4</f>
        <v>55.026295298492236</v>
      </c>
      <c r="F27" s="52">
        <f>B27*5</f>
        <v>68.78286912311529</v>
      </c>
      <c r="G27" s="52">
        <f>B27*6</f>
        <v>82.53944294773835</v>
      </c>
      <c r="H27" s="52">
        <f>B27*7</f>
        <v>96.29601677236141</v>
      </c>
    </row>
    <row r="28" spans="2:8" ht="12.75">
      <c r="B28" s="52">
        <f>C15</f>
        <v>19.979785792904917</v>
      </c>
      <c r="C28" s="52">
        <f>B28*2</f>
        <v>39.95957158580983</v>
      </c>
      <c r="D28" s="52">
        <f>B28*3</f>
        <v>59.939357378714746</v>
      </c>
      <c r="E28" s="52">
        <f>B28*4</f>
        <v>79.91914317161967</v>
      </c>
      <c r="F28" s="52">
        <f>B28*5</f>
        <v>99.89892896452459</v>
      </c>
      <c r="G28" s="52">
        <f>B28*6</f>
        <v>119.87871475742949</v>
      </c>
      <c r="H28" s="52">
        <f>B28*7</f>
        <v>139.8585005503344</v>
      </c>
    </row>
    <row r="29" spans="2:8" ht="12.75">
      <c r="B29" s="52">
        <f>C16</f>
        <v>25.174530099060195</v>
      </c>
      <c r="C29" s="52">
        <f>B29*2</f>
        <v>50.34906019812039</v>
      </c>
      <c r="D29" s="52">
        <f>B29*3</f>
        <v>75.52359029718059</v>
      </c>
      <c r="E29" s="52">
        <f>B29*4</f>
        <v>100.69812039624078</v>
      </c>
      <c r="F29" s="52">
        <f>B29*5</f>
        <v>125.87265049530097</v>
      </c>
      <c r="G29" s="52">
        <f>B29*6</f>
        <v>151.04718059436118</v>
      </c>
      <c r="H29" s="52">
        <f>B29*7</f>
        <v>176.22171069342136</v>
      </c>
    </row>
    <row r="30" spans="2:8" ht="12.75">
      <c r="B30" s="52">
        <f>C17</f>
        <v>30.700646462268537</v>
      </c>
      <c r="C30" s="52">
        <f>B30*2</f>
        <v>61.401292924537074</v>
      </c>
      <c r="D30" s="52">
        <f>B30*3</f>
        <v>92.10193938680561</v>
      </c>
      <c r="E30" s="52">
        <f>B30*4</f>
        <v>122.80258584907415</v>
      </c>
      <c r="F30" s="52">
        <f>B30*5</f>
        <v>153.50323231134269</v>
      </c>
      <c r="G30" s="52">
        <f>B30*6</f>
        <v>184.20387877361122</v>
      </c>
      <c r="H30" s="52">
        <f>B30*7</f>
        <v>214.90452523587976</v>
      </c>
    </row>
    <row r="34" ht="14.25" customHeight="1"/>
  </sheetData>
  <sheetProtection/>
  <mergeCells count="5">
    <mergeCell ref="A1:K1"/>
    <mergeCell ref="B10:K10"/>
    <mergeCell ref="B19:K19"/>
    <mergeCell ref="B20:K20"/>
    <mergeCell ref="D3:F3"/>
  </mergeCells>
  <printOptions gridLines="1"/>
  <pageMargins left="0.75" right="0.75" top="1" bottom="1" header="0.5" footer="0.5"/>
  <pageSetup horizontalDpi="600" verticalDpi="600" orientation="landscape" scale="85" r:id="rId2"/>
  <headerFooter alignWithMargins="0">
    <oddHeader>&amp;C&amp;A</oddHeader>
    <oddFooter>&amp;CPage &amp;P</oddFooter>
  </headerFooter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8.8515625" style="101" customWidth="1"/>
    <col min="2" max="11" width="9.140625" style="101" customWidth="1"/>
    <col min="12" max="12" width="15.140625" style="101" customWidth="1"/>
    <col min="13" max="13" width="13.140625" style="101" customWidth="1"/>
    <col min="14" max="14" width="9.8515625" style="101" customWidth="1"/>
    <col min="15" max="16384" width="9.140625" style="101" customWidth="1"/>
  </cols>
  <sheetData>
    <row r="1" spans="1:10" ht="27.75">
      <c r="A1" s="164" t="s">
        <v>147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ht="12.75">
      <c r="A2" s="101" t="s">
        <v>146</v>
      </c>
      <c r="B2" s="116">
        <v>3.1</v>
      </c>
      <c r="C2" s="116" t="s">
        <v>107</v>
      </c>
      <c r="L2" s="118" t="s">
        <v>145</v>
      </c>
      <c r="M2" s="118" t="s">
        <v>144</v>
      </c>
      <c r="N2" s="118" t="s">
        <v>143</v>
      </c>
    </row>
    <row r="3" spans="1:14" ht="12.75">
      <c r="A3" s="101" t="s">
        <v>104</v>
      </c>
      <c r="B3" s="116">
        <v>3.5</v>
      </c>
      <c r="C3" s="116">
        <f>B3*B2</f>
        <v>10.85</v>
      </c>
      <c r="D3" s="101" t="s">
        <v>142</v>
      </c>
      <c r="L3" s="117">
        <f>ROUND((B22*C3)/G8,0)</f>
        <v>4800</v>
      </c>
      <c r="M3" s="117"/>
      <c r="N3" s="117">
        <f>ROUND(4800+M4,-2)</f>
        <v>6800</v>
      </c>
    </row>
    <row r="4" spans="1:14" ht="12.75">
      <c r="A4" s="101" t="s">
        <v>101</v>
      </c>
      <c r="B4" s="116">
        <v>2.059</v>
      </c>
      <c r="C4" s="116">
        <f>B4*B2</f>
        <v>6.382900000000001</v>
      </c>
      <c r="D4" s="101" t="s">
        <v>103</v>
      </c>
      <c r="E4" s="116">
        <v>17</v>
      </c>
      <c r="F4" s="116" t="s">
        <v>102</v>
      </c>
      <c r="L4" s="117">
        <f>ROUND((B22*C4)/G8,0)</f>
        <v>2824</v>
      </c>
      <c r="M4" s="117">
        <f>L3-L4</f>
        <v>1976</v>
      </c>
      <c r="N4" s="117">
        <f>ROUND(4800+M5,-2)</f>
        <v>5700</v>
      </c>
    </row>
    <row r="5" spans="1:14" ht="12.75">
      <c r="A5" s="101" t="s">
        <v>99</v>
      </c>
      <c r="B5" s="116">
        <v>1.409</v>
      </c>
      <c r="C5" s="116">
        <f>B5*B2</f>
        <v>4.367900000000001</v>
      </c>
      <c r="D5" s="101" t="s">
        <v>100</v>
      </c>
      <c r="E5" s="116">
        <v>35</v>
      </c>
      <c r="F5" s="116">
        <f>F6*E5/100</f>
        <v>4.616141732283465</v>
      </c>
      <c r="L5" s="117">
        <f>ROUND((B22*C5)/G8,0)</f>
        <v>1932</v>
      </c>
      <c r="M5" s="117">
        <f>L4-L5</f>
        <v>892</v>
      </c>
      <c r="N5" s="117">
        <f>ROUND(4800+M6,-2)</f>
        <v>5200</v>
      </c>
    </row>
    <row r="6" spans="1:14" ht="12.75">
      <c r="A6" s="101" t="s">
        <v>97</v>
      </c>
      <c r="B6" s="116">
        <v>1.125</v>
      </c>
      <c r="C6" s="116">
        <f>B6*B2</f>
        <v>3.4875000000000003</v>
      </c>
      <c r="D6" s="101" t="s">
        <v>98</v>
      </c>
      <c r="E6" s="116">
        <v>335</v>
      </c>
      <c r="F6" s="116">
        <f>E6/25.4</f>
        <v>13.188976377952757</v>
      </c>
      <c r="L6" s="117">
        <f>ROUND((B22*C6)/G8,0)</f>
        <v>1543</v>
      </c>
      <c r="M6" s="117">
        <f>L5-L6</f>
        <v>389</v>
      </c>
      <c r="N6" s="117">
        <f>ROUND(4800+M7,-2)</f>
        <v>5100</v>
      </c>
    </row>
    <row r="7" spans="1:14" ht="12.75">
      <c r="A7" s="101" t="s">
        <v>95</v>
      </c>
      <c r="B7" s="116">
        <v>0.888</v>
      </c>
      <c r="C7" s="116">
        <f>B7*B2</f>
        <v>2.7528</v>
      </c>
      <c r="D7" s="101" t="s">
        <v>96</v>
      </c>
      <c r="E7" s="116">
        <f>E4+(2*F5)</f>
        <v>26.23228346456693</v>
      </c>
      <c r="F7" s="116"/>
      <c r="L7" s="117">
        <f>ROUND((B22*C7)/G8,0)</f>
        <v>1218</v>
      </c>
      <c r="M7" s="117">
        <f>L6-L7</f>
        <v>325</v>
      </c>
      <c r="N7" s="117"/>
    </row>
    <row r="8" spans="4:7" ht="12.75">
      <c r="D8" s="101" t="s">
        <v>94</v>
      </c>
      <c r="E8" s="116">
        <f>3.1415927*E7</f>
        <v>82.41115023661418</v>
      </c>
      <c r="F8" s="115">
        <f>E8/(12*5280)</f>
        <v>0.001300681032774845</v>
      </c>
      <c r="G8" s="101">
        <f>E8*60/(12*5280)</f>
        <v>0.0780408619664907</v>
      </c>
    </row>
    <row r="9" ht="13.5" thickBot="1"/>
    <row r="10" spans="2:11" ht="17.25" thickBot="1" thickTop="1">
      <c r="B10" s="165" t="s">
        <v>141</v>
      </c>
      <c r="C10" s="166"/>
      <c r="D10" s="166"/>
      <c r="E10" s="166"/>
      <c r="F10" s="166"/>
      <c r="G10" s="166"/>
      <c r="H10" s="166"/>
      <c r="I10" s="166"/>
      <c r="J10" s="166"/>
      <c r="K10" s="167"/>
    </row>
    <row r="11" spans="2:11" ht="13.5" thickTop="1">
      <c r="B11" s="114" t="s">
        <v>77</v>
      </c>
      <c r="C11" s="113">
        <v>1000</v>
      </c>
      <c r="D11" s="113">
        <v>2000</v>
      </c>
      <c r="E11" s="113">
        <v>3000</v>
      </c>
      <c r="F11" s="113">
        <v>4000</v>
      </c>
      <c r="G11" s="113">
        <v>5000</v>
      </c>
      <c r="H11" s="113">
        <v>5500</v>
      </c>
      <c r="I11" s="113">
        <v>6000</v>
      </c>
      <c r="J11" s="113">
        <v>6500</v>
      </c>
      <c r="K11" s="112">
        <v>7000</v>
      </c>
    </row>
    <row r="12" spans="2:11" ht="12.75">
      <c r="B12" s="111" t="s">
        <v>76</v>
      </c>
      <c r="C12" s="110"/>
      <c r="D12" s="110"/>
      <c r="E12" s="110"/>
      <c r="F12" s="110"/>
      <c r="G12" s="110"/>
      <c r="H12" s="110"/>
      <c r="I12" s="110"/>
      <c r="J12" s="110"/>
      <c r="K12" s="109"/>
    </row>
    <row r="13" spans="2:11" ht="12.75">
      <c r="B13" s="108">
        <v>1</v>
      </c>
      <c r="C13" s="107">
        <f>(C11/C3)*G8</f>
        <v>7.192706172026793</v>
      </c>
      <c r="D13" s="107">
        <f>C13*2</f>
        <v>14.385412344053586</v>
      </c>
      <c r="E13" s="107">
        <f>C13*3</f>
        <v>21.57811851608038</v>
      </c>
      <c r="F13" s="107">
        <f>C13*4</f>
        <v>28.770824688107172</v>
      </c>
      <c r="G13" s="107">
        <f>C13*5</f>
        <v>35.963530860133964</v>
      </c>
      <c r="H13" s="107">
        <f>C13*5.5</f>
        <v>39.55988394614736</v>
      </c>
      <c r="I13" s="107">
        <f>C13*6</f>
        <v>43.15623703216076</v>
      </c>
      <c r="J13" s="107">
        <f>C13*6.5</f>
        <v>46.752590118174155</v>
      </c>
      <c r="K13" s="106">
        <f>C13*7</f>
        <v>50.34894320418755</v>
      </c>
    </row>
    <row r="14" spans="2:11" ht="12.75">
      <c r="B14" s="108">
        <v>2</v>
      </c>
      <c r="C14" s="107">
        <f>(C11/C4)*G8</f>
        <v>12.226552502231067</v>
      </c>
      <c r="D14" s="107">
        <f>C14*2</f>
        <v>24.453105004462135</v>
      </c>
      <c r="E14" s="107">
        <f>C14*3</f>
        <v>36.679657506693204</v>
      </c>
      <c r="F14" s="107">
        <f>C14*4</f>
        <v>48.90621000892427</v>
      </c>
      <c r="G14" s="107">
        <f>C14*5</f>
        <v>61.132762511155335</v>
      </c>
      <c r="H14" s="107">
        <f>C14*5.5</f>
        <v>67.24603876227087</v>
      </c>
      <c r="I14" s="107">
        <f>C14*6</f>
        <v>73.35931501338641</v>
      </c>
      <c r="J14" s="107">
        <f>C14*6.5</f>
        <v>79.47259126450194</v>
      </c>
      <c r="K14" s="106">
        <f>C14*7</f>
        <v>85.58586751561747</v>
      </c>
    </row>
    <row r="15" spans="2:11" ht="12.75">
      <c r="B15" s="108">
        <v>3</v>
      </c>
      <c r="C15" s="107">
        <f>(C11/C5)*G8</f>
        <v>17.86690674385647</v>
      </c>
      <c r="D15" s="107">
        <f>C15*2</f>
        <v>35.73381348771294</v>
      </c>
      <c r="E15" s="107">
        <f>C15*3</f>
        <v>53.60072023156941</v>
      </c>
      <c r="F15" s="107">
        <f>C15*4</f>
        <v>71.46762697542589</v>
      </c>
      <c r="G15" s="107">
        <f>C15*5</f>
        <v>89.33453371928236</v>
      </c>
      <c r="H15" s="107">
        <f>C15*5.5</f>
        <v>98.2679870912106</v>
      </c>
      <c r="I15" s="107">
        <f>C15*6</f>
        <v>107.20144046313882</v>
      </c>
      <c r="J15" s="107">
        <f>C15*6.5</f>
        <v>116.13489383506706</v>
      </c>
      <c r="K15" s="106">
        <f>C15*7</f>
        <v>125.0683472069953</v>
      </c>
    </row>
    <row r="16" spans="2:11" ht="12.75">
      <c r="B16" s="108">
        <v>4</v>
      </c>
      <c r="C16" s="107">
        <f>(C11/C6)*G8</f>
        <v>22.37730809075002</v>
      </c>
      <c r="D16" s="107">
        <f>C16*2</f>
        <v>44.75461618150004</v>
      </c>
      <c r="E16" s="107">
        <f>C16*3</f>
        <v>67.13192427225006</v>
      </c>
      <c r="F16" s="107">
        <f>C16*4</f>
        <v>89.50923236300008</v>
      </c>
      <c r="G16" s="107">
        <f>C16*5</f>
        <v>111.8865404537501</v>
      </c>
      <c r="H16" s="107">
        <f>C16*5.5</f>
        <v>123.0751944991251</v>
      </c>
      <c r="I16" s="107">
        <f>C16*6</f>
        <v>134.26384854450012</v>
      </c>
      <c r="J16" s="107">
        <f>C16*6.5</f>
        <v>145.45250258987514</v>
      </c>
      <c r="K16" s="106">
        <f>C16*7</f>
        <v>156.64115663525013</v>
      </c>
    </row>
    <row r="17" spans="2:11" ht="12.75">
      <c r="B17" s="108">
        <v>5</v>
      </c>
      <c r="C17" s="107">
        <f>(C11/C7)*G8</f>
        <v>28.349630182538032</v>
      </c>
      <c r="D17" s="107">
        <f>C17*2</f>
        <v>56.699260365076064</v>
      </c>
      <c r="E17" s="107">
        <f>C17*3</f>
        <v>85.04889054761409</v>
      </c>
      <c r="F17" s="107">
        <f>C17*4</f>
        <v>113.39852073015213</v>
      </c>
      <c r="G17" s="107">
        <f>C17*5</f>
        <v>141.74815091269016</v>
      </c>
      <c r="H17" s="107">
        <f>C17*5.5</f>
        <v>155.92296600395917</v>
      </c>
      <c r="I17" s="107">
        <f>C17*6</f>
        <v>170.09778109522819</v>
      </c>
      <c r="J17" s="107">
        <f>C17*6.5</f>
        <v>184.2725961864972</v>
      </c>
      <c r="K17" s="106">
        <f>C17*7</f>
        <v>198.44741127776624</v>
      </c>
    </row>
    <row r="18" spans="2:11" ht="13.5" thickBot="1">
      <c r="B18" s="105"/>
      <c r="C18" s="104"/>
      <c r="D18" s="104"/>
      <c r="E18" s="104"/>
      <c r="F18" s="104"/>
      <c r="G18" s="104"/>
      <c r="H18" s="104"/>
      <c r="I18" s="104"/>
      <c r="J18" s="104"/>
      <c r="K18" s="103"/>
    </row>
    <row r="19" spans="2:11" ht="14.25" thickBot="1" thickTop="1">
      <c r="B19" s="168" t="s">
        <v>140</v>
      </c>
      <c r="C19" s="169"/>
      <c r="D19" s="169"/>
      <c r="E19" s="169"/>
      <c r="F19" s="169"/>
      <c r="G19" s="169"/>
      <c r="H19" s="169"/>
      <c r="I19" s="169"/>
      <c r="J19" s="169"/>
      <c r="K19" s="170"/>
    </row>
    <row r="20" ht="13.5" thickTop="1"/>
    <row r="22" ht="12.75">
      <c r="B22" s="102">
        <f>C13*4.8</f>
        <v>34.52498962572861</v>
      </c>
    </row>
  </sheetData>
  <sheetProtection/>
  <mergeCells count="3">
    <mergeCell ref="A1:J1"/>
    <mergeCell ref="B10:K10"/>
    <mergeCell ref="B19:K19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5.140625" style="51" customWidth="1"/>
    <col min="2" max="10" width="9.140625" style="51" customWidth="1"/>
    <col min="11" max="11" width="9.57421875" style="51" customWidth="1"/>
    <col min="12" max="12" width="15.421875" style="51" customWidth="1"/>
    <col min="13" max="13" width="13.28125" style="51" customWidth="1"/>
    <col min="14" max="14" width="11.140625" style="51" customWidth="1"/>
    <col min="15" max="16384" width="9.140625" style="51" customWidth="1"/>
  </cols>
  <sheetData>
    <row r="1" spans="1:10" ht="27.75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ht="12.75">
      <c r="A2" s="51" t="s">
        <v>146</v>
      </c>
      <c r="B2" s="136">
        <v>3.889</v>
      </c>
      <c r="C2" s="136" t="s">
        <v>107</v>
      </c>
      <c r="L2" s="90" t="s">
        <v>145</v>
      </c>
      <c r="M2" s="90" t="s">
        <v>144</v>
      </c>
      <c r="N2" s="90" t="s">
        <v>143</v>
      </c>
    </row>
    <row r="3" spans="1:14" ht="12.75">
      <c r="A3" s="51" t="s">
        <v>104</v>
      </c>
      <c r="B3" s="136">
        <v>2.62</v>
      </c>
      <c r="C3" s="136">
        <f>B3*B2</f>
        <v>10.18918</v>
      </c>
      <c r="D3" s="51" t="s">
        <v>142</v>
      </c>
      <c r="L3" s="87">
        <f>ROUND((B22*C3)/G8,0)</f>
        <v>4800</v>
      </c>
      <c r="M3" s="87"/>
      <c r="N3" s="87">
        <f>ROUND(4800+M4,-2)</f>
        <v>6000</v>
      </c>
    </row>
    <row r="4" spans="1:14" ht="12.75">
      <c r="A4" s="51" t="s">
        <v>101</v>
      </c>
      <c r="B4" s="136">
        <v>1.94</v>
      </c>
      <c r="C4" s="136">
        <f>B4*B2</f>
        <v>7.5446599999999995</v>
      </c>
      <c r="D4" s="51" t="s">
        <v>103</v>
      </c>
      <c r="E4" s="136">
        <v>17</v>
      </c>
      <c r="F4" s="136" t="s">
        <v>102</v>
      </c>
      <c r="L4" s="87">
        <f>ROUND((B22*C4)/G8,0)</f>
        <v>3554</v>
      </c>
      <c r="M4" s="87">
        <f>L3-L4</f>
        <v>1246</v>
      </c>
      <c r="N4" s="87">
        <f>ROUND(4800+M5,-2)</f>
        <v>5700</v>
      </c>
    </row>
    <row r="5" spans="1:14" ht="12.75">
      <c r="A5" s="51" t="s">
        <v>99</v>
      </c>
      <c r="B5" s="136">
        <v>1.47</v>
      </c>
      <c r="C5" s="136">
        <f>B5*B2</f>
        <v>5.71683</v>
      </c>
      <c r="D5" s="51" t="s">
        <v>100</v>
      </c>
      <c r="E5" s="136">
        <v>35</v>
      </c>
      <c r="F5" s="136">
        <f>F6*E5/100</f>
        <v>4.616141732283465</v>
      </c>
      <c r="L5" s="87">
        <f>ROUND((B22*C5)/G8,0)</f>
        <v>2693</v>
      </c>
      <c r="M5" s="87">
        <f>L4-L5</f>
        <v>861</v>
      </c>
      <c r="N5" s="87">
        <f>ROUND(4800+M6,-2)</f>
        <v>5400</v>
      </c>
    </row>
    <row r="6" spans="1:14" ht="12.75">
      <c r="A6" s="51" t="s">
        <v>97</v>
      </c>
      <c r="B6" s="136">
        <v>1.14</v>
      </c>
      <c r="C6" s="136">
        <f>B6*B2</f>
        <v>4.433459999999999</v>
      </c>
      <c r="D6" s="51" t="s">
        <v>98</v>
      </c>
      <c r="E6" s="136">
        <v>335</v>
      </c>
      <c r="F6" s="136">
        <f>E6/25.4</f>
        <v>13.188976377952757</v>
      </c>
      <c r="L6" s="87">
        <f>ROUND((B22*C6)/G8,0)</f>
        <v>2089</v>
      </c>
      <c r="M6" s="87">
        <f>L5-L6</f>
        <v>604</v>
      </c>
      <c r="N6" s="87">
        <f>ROUND(4800+M7,-2)</f>
        <v>5200</v>
      </c>
    </row>
    <row r="7" spans="1:14" ht="12.75">
      <c r="A7" s="51" t="s">
        <v>95</v>
      </c>
      <c r="B7" s="136">
        <v>0.93</v>
      </c>
      <c r="C7" s="136">
        <f>B7*B2</f>
        <v>3.61677</v>
      </c>
      <c r="D7" s="51" t="s">
        <v>96</v>
      </c>
      <c r="E7" s="136">
        <f>E4+(2*F5)</f>
        <v>26.23228346456693</v>
      </c>
      <c r="F7" s="136"/>
      <c r="L7" s="87">
        <f>ROUND((B22*C7)/G8,0)</f>
        <v>1704</v>
      </c>
      <c r="M7" s="87">
        <f>L6-L7</f>
        <v>385</v>
      </c>
      <c r="N7" s="87">
        <f>ROUND(4800+M8,-2)</f>
        <v>5500</v>
      </c>
    </row>
    <row r="8" spans="1:14" ht="12.75">
      <c r="A8" s="51" t="s">
        <v>153</v>
      </c>
      <c r="B8" s="136">
        <v>0.8</v>
      </c>
      <c r="C8" s="136">
        <f>B8*B3</f>
        <v>2.096</v>
      </c>
      <c r="D8" s="51" t="s">
        <v>94</v>
      </c>
      <c r="E8" s="136">
        <f>3.1415927*E7</f>
        <v>82.41115023661418</v>
      </c>
      <c r="F8" s="135">
        <f>E8/(12*5280)</f>
        <v>0.001300681032774845</v>
      </c>
      <c r="G8" s="51">
        <f>E8*60/(12*5280)</f>
        <v>0.0780408619664907</v>
      </c>
      <c r="L8" s="87">
        <f>ROUND((B22*C8)/G8,0)</f>
        <v>987</v>
      </c>
      <c r="M8" s="87">
        <f>L7-L8</f>
        <v>717</v>
      </c>
      <c r="N8" s="87"/>
    </row>
    <row r="10" ht="13.5" thickBot="1"/>
    <row r="11" spans="2:11" ht="17.25" thickBot="1" thickTop="1">
      <c r="B11" s="171" t="s">
        <v>141</v>
      </c>
      <c r="C11" s="172"/>
      <c r="D11" s="172"/>
      <c r="E11" s="172"/>
      <c r="F11" s="172"/>
      <c r="G11" s="172"/>
      <c r="H11" s="172"/>
      <c r="I11" s="172"/>
      <c r="J11" s="172"/>
      <c r="K11" s="173"/>
    </row>
    <row r="12" spans="2:11" ht="13.5" thickTop="1">
      <c r="B12" s="134" t="s">
        <v>77</v>
      </c>
      <c r="C12" s="133">
        <v>1000</v>
      </c>
      <c r="D12" s="133">
        <v>2000</v>
      </c>
      <c r="E12" s="133">
        <v>3000</v>
      </c>
      <c r="F12" s="133">
        <v>4000</v>
      </c>
      <c r="G12" s="133">
        <v>5000</v>
      </c>
      <c r="H12" s="133">
        <v>5500</v>
      </c>
      <c r="I12" s="133">
        <v>6000</v>
      </c>
      <c r="J12" s="133">
        <v>6500</v>
      </c>
      <c r="K12" s="132">
        <v>7000</v>
      </c>
    </row>
    <row r="13" spans="2:11" ht="12.75">
      <c r="B13" s="131" t="s">
        <v>76</v>
      </c>
      <c r="C13" s="89"/>
      <c r="D13" s="89"/>
      <c r="E13" s="89"/>
      <c r="F13" s="89"/>
      <c r="G13" s="89"/>
      <c r="H13" s="89"/>
      <c r="I13" s="89"/>
      <c r="J13" s="89"/>
      <c r="K13" s="130"/>
    </row>
    <row r="14" spans="2:14" ht="12.75">
      <c r="B14" s="129">
        <v>1</v>
      </c>
      <c r="C14" s="52">
        <f>(C12/C3)*G8</f>
        <v>7.659189646908848</v>
      </c>
      <c r="D14" s="52">
        <f aca="true" t="shared" si="0" ref="D14:D19">C14*2</f>
        <v>15.318379293817696</v>
      </c>
      <c r="E14" s="52">
        <f aca="true" t="shared" si="1" ref="E14:E19">C14*3</f>
        <v>22.97756894072654</v>
      </c>
      <c r="F14" s="52">
        <f aca="true" t="shared" si="2" ref="F14:F19">C14*4</f>
        <v>30.63675858763539</v>
      </c>
      <c r="G14" s="52">
        <f aca="true" t="shared" si="3" ref="G14:G19">C14*5</f>
        <v>38.29594823454424</v>
      </c>
      <c r="H14" s="52">
        <f aca="true" t="shared" si="4" ref="H14:H19">C14*5.5</f>
        <v>42.12554305799866</v>
      </c>
      <c r="I14" s="52">
        <f aca="true" t="shared" si="5" ref="I14:I19">C14*6</f>
        <v>45.95513788145308</v>
      </c>
      <c r="J14" s="52">
        <f aca="true" t="shared" si="6" ref="J14:J19">C14*6.5</f>
        <v>49.78473270490751</v>
      </c>
      <c r="K14" s="128">
        <f aca="true" t="shared" si="7" ref="K14:K19">C14*7</f>
        <v>53.61432752836193</v>
      </c>
      <c r="L14" s="127">
        <f>H12-(H14-40)*(H12-G12)/(H14-G14)</f>
        <v>5222.4846026816285</v>
      </c>
      <c r="N14" s="87">
        <f>ROUND(4800+M15,-2)</f>
        <v>6200</v>
      </c>
    </row>
    <row r="15" spans="2:14" ht="12.75">
      <c r="B15" s="129">
        <v>2</v>
      </c>
      <c r="C15" s="52">
        <f>(C12/C4)*G8</f>
        <v>10.343854059227414</v>
      </c>
      <c r="D15" s="52">
        <f t="shared" si="0"/>
        <v>20.68770811845483</v>
      </c>
      <c r="E15" s="52">
        <f t="shared" si="1"/>
        <v>31.031562177682243</v>
      </c>
      <c r="F15" s="52">
        <f t="shared" si="2"/>
        <v>41.37541623690966</v>
      </c>
      <c r="G15" s="52">
        <f t="shared" si="3"/>
        <v>51.71927029613707</v>
      </c>
      <c r="H15" s="52">
        <f t="shared" si="4"/>
        <v>56.89119732575078</v>
      </c>
      <c r="I15" s="52">
        <f t="shared" si="5"/>
        <v>62.06312435536449</v>
      </c>
      <c r="J15" s="52">
        <f t="shared" si="6"/>
        <v>67.23505138497819</v>
      </c>
      <c r="K15" s="128">
        <f t="shared" si="7"/>
        <v>72.4069784145919</v>
      </c>
      <c r="L15" s="127">
        <f>F12-(F15-40)*(F12-E12)/(F15-E15)</f>
        <v>3867.0305836650223</v>
      </c>
      <c r="M15" s="87">
        <f>L14-L15</f>
        <v>1355.4540190166063</v>
      </c>
      <c r="N15" s="87">
        <f>ROUND(4800+M16,-2)</f>
        <v>5700</v>
      </c>
    </row>
    <row r="16" spans="2:14" ht="12.75">
      <c r="B16" s="129">
        <v>3</v>
      </c>
      <c r="C16" s="52">
        <f>(C12/C5)*G8</f>
        <v>13.65107270401441</v>
      </c>
      <c r="D16" s="52">
        <f t="shared" si="0"/>
        <v>27.30214540802882</v>
      </c>
      <c r="E16" s="52">
        <f t="shared" si="1"/>
        <v>40.95321811204323</v>
      </c>
      <c r="F16" s="52">
        <f t="shared" si="2"/>
        <v>54.60429081605764</v>
      </c>
      <c r="G16" s="52">
        <f t="shared" si="3"/>
        <v>68.25536352007205</v>
      </c>
      <c r="H16" s="52">
        <f t="shared" si="4"/>
        <v>75.08089987207926</v>
      </c>
      <c r="I16" s="52">
        <f t="shared" si="5"/>
        <v>81.90643622408646</v>
      </c>
      <c r="J16" s="52">
        <f t="shared" si="6"/>
        <v>88.73197257609367</v>
      </c>
      <c r="K16" s="128">
        <f t="shared" si="7"/>
        <v>95.55750892810087</v>
      </c>
      <c r="L16" s="127">
        <f>E12-(E16-40)*(E12-D12)/(E16-D16)</f>
        <v>2930.1726587564863</v>
      </c>
      <c r="M16" s="87">
        <f>L15-L16</f>
        <v>936.857924908536</v>
      </c>
      <c r="N16" s="87">
        <f>ROUND(4800+M17,-2)</f>
        <v>5500</v>
      </c>
    </row>
    <row r="17" spans="2:14" ht="12.75">
      <c r="B17" s="129">
        <v>4</v>
      </c>
      <c r="C17" s="52">
        <f>(C12/C6)*G8</f>
        <v>17.602699013071216</v>
      </c>
      <c r="D17" s="52">
        <f t="shared" si="0"/>
        <v>35.20539802614243</v>
      </c>
      <c r="E17" s="52">
        <f t="shared" si="1"/>
        <v>52.80809703921365</v>
      </c>
      <c r="F17" s="52">
        <f t="shared" si="2"/>
        <v>70.41079605228487</v>
      </c>
      <c r="G17" s="52">
        <f t="shared" si="3"/>
        <v>88.01349506535608</v>
      </c>
      <c r="H17" s="52">
        <f t="shared" si="4"/>
        <v>96.81484457189168</v>
      </c>
      <c r="I17" s="52">
        <f t="shared" si="5"/>
        <v>105.6161940784273</v>
      </c>
      <c r="J17" s="52">
        <f t="shared" si="6"/>
        <v>114.41754358496291</v>
      </c>
      <c r="K17" s="128">
        <f t="shared" si="7"/>
        <v>123.21889309149851</v>
      </c>
      <c r="L17" s="127">
        <f>E12-(E17-40)*(E12-D12)/(E17-D17)</f>
        <v>2272.3787965866622</v>
      </c>
      <c r="M17" s="87">
        <f>L16-L17</f>
        <v>657.793862169824</v>
      </c>
      <c r="N17" s="87">
        <f>ROUND(4800+M18,-2)</f>
        <v>5200</v>
      </c>
    </row>
    <row r="18" spans="2:14" ht="12.75">
      <c r="B18" s="129">
        <v>5</v>
      </c>
      <c r="C18" s="52">
        <f>(C12/C7)*G8</f>
        <v>21.577502016022777</v>
      </c>
      <c r="D18" s="52">
        <f t="shared" si="0"/>
        <v>43.155004032045554</v>
      </c>
      <c r="E18" s="52">
        <f t="shared" si="1"/>
        <v>64.73250604806833</v>
      </c>
      <c r="F18" s="52">
        <f t="shared" si="2"/>
        <v>86.31000806409111</v>
      </c>
      <c r="G18" s="52">
        <f t="shared" si="3"/>
        <v>107.88751008011388</v>
      </c>
      <c r="H18" s="52">
        <f t="shared" si="4"/>
        <v>118.67626108812527</v>
      </c>
      <c r="I18" s="52">
        <f t="shared" si="5"/>
        <v>129.46501209613666</v>
      </c>
      <c r="J18" s="52">
        <f t="shared" si="6"/>
        <v>140.25376310414805</v>
      </c>
      <c r="K18" s="128">
        <f t="shared" si="7"/>
        <v>151.04251411215944</v>
      </c>
      <c r="L18" s="127">
        <f>E12-(E18-40)*(E12-D12)/(E18-D18)</f>
        <v>1853.7827024785934</v>
      </c>
      <c r="M18" s="87">
        <f>L17-L18</f>
        <v>418.5960941080689</v>
      </c>
      <c r="N18" s="87">
        <f>ROUND(4800+M19,-2)</f>
        <v>5600</v>
      </c>
    </row>
    <row r="19" spans="2:13" ht="12.75">
      <c r="B19" s="129">
        <v>6</v>
      </c>
      <c r="C19" s="52">
        <f>(C12/C8)*G8</f>
        <v>37.23323567103564</v>
      </c>
      <c r="D19" s="52">
        <f t="shared" si="0"/>
        <v>74.46647134207127</v>
      </c>
      <c r="E19" s="52">
        <f t="shared" si="1"/>
        <v>111.69970701310692</v>
      </c>
      <c r="F19" s="52">
        <f t="shared" si="2"/>
        <v>148.93294268414255</v>
      </c>
      <c r="G19" s="52">
        <f t="shared" si="3"/>
        <v>186.16617835517818</v>
      </c>
      <c r="H19" s="52">
        <f t="shared" si="4"/>
        <v>204.782796190696</v>
      </c>
      <c r="I19" s="52">
        <f t="shared" si="5"/>
        <v>223.39941402621383</v>
      </c>
      <c r="J19" s="52">
        <f t="shared" si="6"/>
        <v>242.01603186173165</v>
      </c>
      <c r="K19" s="128">
        <f t="shared" si="7"/>
        <v>260.63264969724946</v>
      </c>
      <c r="L19" s="127">
        <f>D12-(D19-40)*(D12-C12)/(D19-C19)</f>
        <v>1074.308995151788</v>
      </c>
      <c r="M19" s="87">
        <f>L18-L19</f>
        <v>779.4737073268054</v>
      </c>
    </row>
    <row r="20" spans="2:11" ht="13.5" thickBot="1">
      <c r="B20" s="126"/>
      <c r="C20" s="125"/>
      <c r="D20" s="125"/>
      <c r="E20" s="125"/>
      <c r="F20" s="125"/>
      <c r="G20" s="125"/>
      <c r="H20" s="125"/>
      <c r="I20" s="125"/>
      <c r="J20" s="125"/>
      <c r="K20" s="124"/>
    </row>
    <row r="21" spans="2:11" ht="14.25" thickBot="1" thickTop="1">
      <c r="B21" s="174"/>
      <c r="C21" s="175"/>
      <c r="D21" s="175"/>
      <c r="E21" s="175"/>
      <c r="F21" s="175"/>
      <c r="G21" s="175"/>
      <c r="H21" s="175"/>
      <c r="I21" s="175"/>
      <c r="J21" s="175"/>
      <c r="K21" s="176"/>
    </row>
    <row r="22" ht="13.5" thickTop="1">
      <c r="B22" s="123">
        <f>C14*4.8</f>
        <v>36.76411030516247</v>
      </c>
    </row>
    <row r="25" spans="2:4" ht="25.5">
      <c r="B25" s="122" t="s">
        <v>152</v>
      </c>
      <c r="C25" s="121" t="s">
        <v>151</v>
      </c>
      <c r="D25" s="121" t="s">
        <v>150</v>
      </c>
    </row>
    <row r="26" spans="2:4" ht="12.75">
      <c r="B26" s="120">
        <v>1</v>
      </c>
      <c r="C26" s="119">
        <v>2.615</v>
      </c>
      <c r="D26" s="119">
        <v>2.615</v>
      </c>
    </row>
    <row r="27" spans="2:4" ht="12.75">
      <c r="B27" s="120">
        <v>2</v>
      </c>
      <c r="C27" s="119">
        <v>1.938</v>
      </c>
      <c r="D27" s="119">
        <v>1.938</v>
      </c>
    </row>
    <row r="28" spans="2:4" ht="12.75">
      <c r="B28" s="120">
        <v>3</v>
      </c>
      <c r="C28" s="119">
        <v>1.474</v>
      </c>
      <c r="D28" s="119">
        <v>1.474</v>
      </c>
    </row>
    <row r="29" spans="2:4" ht="12.75">
      <c r="B29" s="120">
        <v>4</v>
      </c>
      <c r="C29" s="119">
        <v>1.238</v>
      </c>
      <c r="D29" s="119">
        <v>1.136</v>
      </c>
    </row>
    <row r="30" spans="2:4" ht="12.75">
      <c r="B30" s="120">
        <v>5</v>
      </c>
      <c r="C30" s="119">
        <v>1.077</v>
      </c>
      <c r="D30" s="119">
        <v>0.929</v>
      </c>
    </row>
    <row r="31" spans="2:4" ht="12.75">
      <c r="B31" s="120">
        <v>6</v>
      </c>
      <c r="C31" s="119">
        <v>0.929</v>
      </c>
      <c r="D31" s="119">
        <v>0.8</v>
      </c>
    </row>
    <row r="32" spans="2:4" ht="12.75">
      <c r="B32" s="120" t="s">
        <v>75</v>
      </c>
      <c r="C32" s="119">
        <v>2.5</v>
      </c>
      <c r="D32" s="119">
        <v>2.5</v>
      </c>
    </row>
    <row r="33" spans="2:4" ht="25.5">
      <c r="B33" s="120" t="s">
        <v>149</v>
      </c>
      <c r="C33" s="119" t="s">
        <v>148</v>
      </c>
      <c r="D33" s="119" t="s">
        <v>148</v>
      </c>
    </row>
  </sheetData>
  <sheetProtection/>
  <mergeCells count="3">
    <mergeCell ref="A1:J1"/>
    <mergeCell ref="B11:K11"/>
    <mergeCell ref="B21:K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Komor, Jerry</dc:creator>
  <cp:keywords/>
  <dc:description/>
  <cp:lastModifiedBy>admin</cp:lastModifiedBy>
  <cp:lastPrinted>2004-01-05T07:58:53Z</cp:lastPrinted>
  <dcterms:created xsi:type="dcterms:W3CDTF">2001-06-19T05:12:39Z</dcterms:created>
  <dcterms:modified xsi:type="dcterms:W3CDTF">2017-05-04T04:09:27Z</dcterms:modified>
  <cp:category/>
  <cp:version/>
  <cp:contentType/>
  <cp:contentStatus/>
</cp:coreProperties>
</file>